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封面" sheetId="1" state="hidden" r:id="rId1"/>
    <sheet name="采购计划" sheetId="2" r:id="rId2"/>
    <sheet name="主页" sheetId="7" state="hidden" r:id="rId3"/>
    <sheet name="调整" sheetId="8" state="hidden" r:id="rId4"/>
  </sheets>
  <externalReferences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<sst xmlns="http://schemas.openxmlformats.org/spreadsheetml/2006/main" count="1095" uniqueCount="692">
  <si>
    <t>鹏飞装饰公司</t>
  </si>
  <si>
    <t>PENG FEI ZHUANG SHI</t>
  </si>
  <si>
    <t>装修工程预算书</t>
  </si>
  <si>
    <t>工程名称:</t>
  </si>
  <si>
    <t>工程总造价:</t>
  </si>
  <si>
    <t>元</t>
  </si>
  <si>
    <t>客户地址:</t>
  </si>
  <si>
    <t>工程负责人:</t>
  </si>
  <si>
    <t>房    型:</t>
  </si>
  <si>
    <t>编  制  人:</t>
  </si>
  <si>
    <t>建筑面积:</t>
  </si>
  <si>
    <t>M2</t>
  </si>
  <si>
    <t>分部：</t>
  </si>
  <si>
    <t/>
  </si>
  <si>
    <t>食堂厨房设备清单</t>
  </si>
  <si>
    <t>序号</t>
  </si>
  <si>
    <t>项目内容</t>
  </si>
  <si>
    <t>数量</t>
  </si>
  <si>
    <t>单位</t>
  </si>
  <si>
    <t>单价(元)</t>
  </si>
  <si>
    <t>金额（元）</t>
  </si>
  <si>
    <t>规格</t>
  </si>
  <si>
    <t>备注</t>
  </si>
  <si>
    <t>一</t>
  </si>
  <si>
    <t>库房</t>
  </si>
  <si>
    <t>米面架</t>
  </si>
  <si>
    <t>个</t>
  </si>
  <si>
    <t>1200*500*120</t>
  </si>
  <si>
    <t>货架</t>
  </si>
  <si>
    <t>1200*500*1700</t>
  </si>
  <si>
    <t>二</t>
  </si>
  <si>
    <t>厨房</t>
  </si>
  <si>
    <t>抽油烟机、油烟净化系统</t>
  </si>
  <si>
    <t>米</t>
  </si>
  <si>
    <t>8000*1100*900，一体机，净化率95%</t>
  </si>
  <si>
    <t>80大锅灶（工程款）</t>
  </si>
  <si>
    <t>台</t>
  </si>
  <si>
    <t>1200*1100*800</t>
  </si>
  <si>
    <t>两炒一吊炒灶（工程款）</t>
  </si>
  <si>
    <t>1800*1000*800</t>
  </si>
  <si>
    <t>四头煲仔炉（工程款）</t>
  </si>
  <si>
    <t>600*600*350</t>
  </si>
  <si>
    <t>24格双开蒸饭器</t>
  </si>
  <si>
    <t>1300*550*1500</t>
  </si>
  <si>
    <t>洗菜池（201板材工程款）</t>
  </si>
  <si>
    <t>套</t>
  </si>
  <si>
    <t>1800*600*750</t>
  </si>
  <si>
    <t>工作台（工程款）</t>
  </si>
  <si>
    <t>张</t>
  </si>
  <si>
    <t>1800*800*800（双层）</t>
  </si>
  <si>
    <t>打荷台（工程款）</t>
  </si>
  <si>
    <t>1800*800*800（双层带门）</t>
  </si>
  <si>
    <t>80铁锅</t>
  </si>
  <si>
    <t>口</t>
  </si>
  <si>
    <t>60铁锅</t>
  </si>
  <si>
    <t>50铁锅</t>
  </si>
  <si>
    <t>燃气热水器</t>
  </si>
  <si>
    <t>14L</t>
  </si>
  <si>
    <t>刀具五格消毒柜</t>
  </si>
  <si>
    <t>毛巾消毒柜</t>
  </si>
  <si>
    <t>工具消毒柜</t>
  </si>
  <si>
    <t>三</t>
  </si>
  <si>
    <t>外面阳台（粗加工）</t>
  </si>
  <si>
    <t>绞肉机</t>
  </si>
  <si>
    <t xml:space="preserve">切菜机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</si>
  <si>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柜式加高净化开水器</t>
  </si>
  <si>
    <t>钢货架</t>
  </si>
  <si>
    <t>不锈钢储物架（工程款）</t>
  </si>
  <si>
    <t>1100*500*500（4层）</t>
  </si>
  <si>
    <t>清洗池（一洗二清三清，工程款）</t>
  </si>
  <si>
    <t>900*600*800（配两层贺）</t>
  </si>
  <si>
    <t>四</t>
  </si>
  <si>
    <t>换衣间</t>
  </si>
  <si>
    <t>洗手台</t>
  </si>
  <si>
    <t>铁皮衣柜</t>
  </si>
  <si>
    <t>五</t>
  </si>
  <si>
    <t>洗碗间</t>
  </si>
  <si>
    <t>900*600*800</t>
  </si>
  <si>
    <t>2000*700*800</t>
  </si>
  <si>
    <t>六</t>
  </si>
  <si>
    <t>配餐间</t>
  </si>
  <si>
    <t>台式三格保温售饭台</t>
  </si>
  <si>
    <t>900*500*350</t>
  </si>
  <si>
    <t>餐具消毒柜</t>
  </si>
  <si>
    <t>1200*550*1800</t>
  </si>
  <si>
    <t>小桌子（工程款）</t>
  </si>
  <si>
    <t>七</t>
  </si>
  <si>
    <t>大厅隔间</t>
  </si>
  <si>
    <t>六门冰柜（风冷）</t>
  </si>
  <si>
    <t>四门冰柜（风冷）</t>
  </si>
  <si>
    <t>留样柜</t>
  </si>
  <si>
    <t>合计总金额（元）</t>
  </si>
  <si>
    <t>《装修项目预算表》</t>
  </si>
  <si>
    <t>信息录入</t>
  </si>
  <si>
    <t>客 户 姓 名（或工程名称）</t>
  </si>
  <si>
    <t>金姐</t>
  </si>
  <si>
    <t>计算式</t>
  </si>
  <si>
    <t>门 号</t>
  </si>
  <si>
    <t>3-1-18-108</t>
  </si>
  <si>
    <t>套   系</t>
  </si>
  <si>
    <t>个性定制</t>
  </si>
  <si>
    <t>【建筑面积】按实际装修区域(含主屋面积、赠送面积、占用面积、飘窗面积、改建增加等需装修区域)建筑墙体外围计算(下同)面积。</t>
  </si>
  <si>
    <t>现代</t>
  </si>
  <si>
    <t>港式</t>
  </si>
  <si>
    <t>新中式</t>
  </si>
  <si>
    <t>简欧</t>
  </si>
  <si>
    <t>中式</t>
  </si>
  <si>
    <t>欧式</t>
  </si>
  <si>
    <t>美式</t>
  </si>
  <si>
    <t>法式</t>
  </si>
  <si>
    <t>地中海</t>
  </si>
  <si>
    <t>田园</t>
  </si>
  <si>
    <t>东南亚</t>
  </si>
  <si>
    <t>其它</t>
  </si>
  <si>
    <t>舒适</t>
  </si>
  <si>
    <t>精英</t>
  </si>
  <si>
    <t>尊享</t>
  </si>
  <si>
    <t>旗舰</t>
  </si>
  <si>
    <t>砖  混</t>
  </si>
  <si>
    <t>框  架</t>
  </si>
  <si>
    <t>框  剪</t>
  </si>
  <si>
    <t>钢  构</t>
  </si>
  <si>
    <t>木  构</t>
  </si>
  <si>
    <t>土  木</t>
  </si>
  <si>
    <t>其  它</t>
  </si>
  <si>
    <t>建筑面积㎡（建筑外围面积）</t>
  </si>
  <si>
    <t>房 型</t>
  </si>
  <si>
    <t>类   型</t>
  </si>
  <si>
    <t>预算</t>
  </si>
  <si>
    <t>二次预算</t>
  </si>
  <si>
    <t>结算</t>
  </si>
  <si>
    <t>华立</t>
  </si>
  <si>
    <t>东方</t>
  </si>
  <si>
    <t>普润</t>
  </si>
  <si>
    <t>南湖</t>
  </si>
  <si>
    <t>华商</t>
  </si>
  <si>
    <t>新城</t>
  </si>
  <si>
    <t>荣县</t>
  </si>
  <si>
    <t>富顺</t>
  </si>
  <si>
    <t>威远</t>
  </si>
  <si>
    <t>内江</t>
  </si>
  <si>
    <t>宜宾</t>
  </si>
  <si>
    <t>鹏飞</t>
  </si>
  <si>
    <t>楼盘地址</t>
  </si>
  <si>
    <t>晶泽汐月</t>
  </si>
  <si>
    <t>类 别</t>
  </si>
  <si>
    <t>半包</t>
  </si>
  <si>
    <t>分   部</t>
  </si>
  <si>
    <t>一、土建部份（部分代购材料及人工费）</t>
  </si>
  <si>
    <t>金额(元)</t>
  </si>
  <si>
    <t>说明</t>
  </si>
  <si>
    <t>水泥（代购材料）</t>
  </si>
  <si>
    <t>T</t>
  </si>
  <si>
    <t>“金龙”32.5水泥。</t>
  </si>
  <si>
    <t>袋</t>
  </si>
  <si>
    <t>袋装沙12元/袋（20袋/吨），若散装沙180元/吨。</t>
  </si>
  <si>
    <t>红砖（代购材料）</t>
  </si>
  <si>
    <t>匹</t>
  </si>
  <si>
    <t>300匹/吨</t>
  </si>
  <si>
    <t>其它砌体按实调整单价及重量计量方式；若剔红砖0.4元/匹，不计运转费。</t>
  </si>
  <si>
    <t>进材料转运费</t>
  </si>
  <si>
    <t>项</t>
  </si>
  <si>
    <t>电梯房均按5层计算：水泥沙红砖起始层30元/T，每增一层加20元/T，运费35元/T，其它转运费12元/㎡（按建筑面积计算：装修部分建筑墙体外围计量）；非电梯房水泥沙红砖每层另加10元/T、其它转运费每层另加2元/㎡。(注:车距离楼梯入口5m内，超出距离转运水泥、沙、砖按比例每增加20米加30元/T，不含客户自备材料)。</t>
  </si>
  <si>
    <t>开凿强、弱电线路预埋暗槽</t>
  </si>
  <si>
    <t>㎡</t>
  </si>
  <si>
    <t>沿墙沿地</t>
  </si>
  <si>
    <t>沿墙沿地18.8/㎡，沿墙沿顶25.8/㎡；应保证所需宽度及深度，含混凝土线槽；按建筑面积计算（建筑外围面积）；不含开凿75管预埋暗槽及穿墙孔。</t>
  </si>
  <si>
    <t>沿墙沿顶</t>
  </si>
  <si>
    <t>开凿水、气管道预埋暗槽</t>
  </si>
  <si>
    <t>卫(间)</t>
  </si>
  <si>
    <t>见备注</t>
  </si>
  <si>
    <t>不含开凿75/50管预埋暗槽应保证所需宽度及深度，含混凝土线槽；1厨1卫按380(沿墙沿顶520)元计算，每增加1卫(或用水房间)增加150(沿墙沿顶200)元。不含开凿75/50管预埋暗槽、穿墙孔。做地暖或做回水另加3元/㎡（按预算面积计算）；</t>
  </si>
  <si>
    <t>打预埋管道穿墙孔</t>
  </si>
  <si>
    <t>砖体</t>
  </si>
  <si>
    <t>强弱电线管及给水管、排水管等人工打孔打洞。</t>
  </si>
  <si>
    <t>机械钻孔</t>
  </si>
  <si>
    <t>均价</t>
  </si>
  <si>
    <t>空调、浴霸、烟灶、下水管，给水、强弱电线管等机械钻孔；按个计量，不区分大小及砖体、混凝土。</t>
  </si>
  <si>
    <t>开凿(砖体)开关插座盒</t>
  </si>
  <si>
    <t>应保证所需宽度及深度；含混凝土线盒。</t>
  </si>
  <si>
    <t>开凿强、弱电配电箱</t>
  </si>
  <si>
    <t>应保证所需宽度及深度；若混凝土另加60元/个。</t>
  </si>
  <si>
    <t>开凿75管预埋暗槽</t>
  </si>
  <si>
    <t>根</t>
  </si>
  <si>
    <t>挂机/墙排</t>
  </si>
  <si>
    <t>应保证所需宽度及深度。壁挂电视、洁具墙排预埋暗管槽等；超出1m按30元/m计价；若混凝土不能开凿。</t>
  </si>
  <si>
    <t>剔除踢脚线沙灰层</t>
  </si>
  <si>
    <t>m</t>
  </si>
  <si>
    <t>应保证所需宽度及深度。剔沙灰层8元/m，若剔除到砖体12元/m、若混凝土18元/m。</t>
  </si>
  <si>
    <t>剔除窗台及飘窗沙灰层</t>
  </si>
  <si>
    <t>必须符合承重及窗扇安全要求。</t>
  </si>
  <si>
    <t>打窗台面石材、门窗梁安装耳槽</t>
  </si>
  <si>
    <t>对</t>
  </si>
  <si>
    <t>确保安装深度和高度。</t>
  </si>
  <si>
    <t>门窗拆除</t>
  </si>
  <si>
    <t>扇</t>
  </si>
  <si>
    <t>若套装门、窗套、门套单价见《调整表》</t>
  </si>
  <si>
    <t>墙面钉麻面</t>
  </si>
  <si>
    <t>室内涂料清理</t>
  </si>
  <si>
    <t>腻子</t>
  </si>
  <si>
    <t>涂料清理6元/㎡，腻子（或仿瓷）清理12元/㎡。</t>
  </si>
  <si>
    <t>拆除墙地面砖</t>
  </si>
  <si>
    <t>不含沙灰层剔除</t>
  </si>
  <si>
    <t>剔除墙地面沙灰层</t>
  </si>
  <si>
    <t>拆除楼板</t>
  </si>
  <si>
    <t>室内拆除380元/㎡，屋顶面、外墙及挑高面、坡屋面等拆除560元/㎡。</t>
  </si>
  <si>
    <t>拆除楼梯</t>
  </si>
  <si>
    <t>步</t>
  </si>
  <si>
    <t>建渣1m计1㎡</t>
  </si>
  <si>
    <t>宽度1m内，超出按比例递增；</t>
  </si>
  <si>
    <t>拆建筑结构梁柱</t>
  </si>
  <si>
    <t>拆除飘窗（含立面砖墙体)</t>
  </si>
  <si>
    <t>延米计算</t>
  </si>
  <si>
    <t>若立面墙体为混凝土墙拆除420元/m；每米计1㎡建渣。</t>
  </si>
  <si>
    <t>拆除12墙</t>
  </si>
  <si>
    <t>室内拆除55元/㎡，外墙及挑高面拆除80元/㎡。</t>
  </si>
  <si>
    <t>拆除24墙</t>
  </si>
  <si>
    <t>室内拆除65元/㎡，外墙及挑高面拆除90元/㎡。</t>
  </si>
  <si>
    <t>挖凿12墙</t>
  </si>
  <si>
    <t>室内拆除120元/㎡，外墙及挑高面拆除135元/㎡。</t>
  </si>
  <si>
    <t>剔梁柱面沙灰及拆240mm内混凝土梁柱</t>
  </si>
  <si>
    <t>二次浇筑梁柱；请注明位置：</t>
  </si>
  <si>
    <t>壁挂电视空心墙置换红砖墙</t>
  </si>
  <si>
    <t>处</t>
  </si>
  <si>
    <t>0.5m2内</t>
  </si>
  <si>
    <t>含原墙拆除、新砌砖体及抹灰、75mmPVC管(甲供,代购PVC管180元/处)及安装；拆墙计建渣0.5㎡/处。</t>
  </si>
  <si>
    <t>砌06墙</t>
  </si>
  <si>
    <t>红砖</t>
  </si>
  <si>
    <t>室内砖砌体90元/㎡，外墙及挑高面110元/㎡；抹灰费用另计。</t>
  </si>
  <si>
    <t>砌12墙</t>
  </si>
  <si>
    <t>室内砖砌体70元/㎡，外墙及挑高面90元/㎡；抹灰费用另计。</t>
  </si>
  <si>
    <t>砌24墙</t>
  </si>
  <si>
    <t>室内砖砌体85元/㎡，外墙及挑高面105元/㎡；抹灰费用另计。</t>
  </si>
  <si>
    <t>砖砌体拉结筋</t>
  </si>
  <si>
    <t>组</t>
  </si>
  <si>
    <t>含钢筋</t>
  </si>
  <si>
    <t>高度间距每500mm，打孔制6mm直径，长度不短于700mm拉结钢筋40元/组(砖垛短筋减半计价)；2根1组。</t>
  </si>
  <si>
    <t>门窗过梁</t>
  </si>
  <si>
    <t>混凝土</t>
  </si>
  <si>
    <t>木条30元/m（用于跨度1m内）;若采用:2根φ12圆钢50元/m;高度为墙厚的0.5倍C25钢筋混凝土过梁150元/m.</t>
  </si>
  <si>
    <t>木制</t>
  </si>
  <si>
    <t>木条</t>
  </si>
  <si>
    <t>圆钢</t>
  </si>
  <si>
    <t>双角钢</t>
  </si>
  <si>
    <t>墙面抹灰</t>
  </si>
  <si>
    <t>墙面</t>
  </si>
  <si>
    <t>平整度小于2mm/㎡；室内墙面18元/㎡(外墙及挑高面28元/㎡)、天棚抹灰25元/㎡、梁柱面按米计价25元/m。</t>
  </si>
  <si>
    <t>栏杆及百叶窗等灶砖封墙</t>
  </si>
  <si>
    <t>含600×600灶砖。</t>
  </si>
  <si>
    <t>修改下水支管道</t>
  </si>
  <si>
    <t>人工+材料</t>
  </si>
  <si>
    <t>含工料1厨1卫380元,每增:1卫(厨)另加180元,1用水阳台另加80元计算；若人工费点位按30元/处计算。花园含人工材料50管45元/m，75管55元/m，110管75元/m</t>
  </si>
  <si>
    <t>沙灰包下水管</t>
  </si>
  <si>
    <t>空隙加填充物、表面抹灰，按下水管根数计算；不含贴砖、隔音处理；其它封包方式价额对应工艺计价。</t>
  </si>
  <si>
    <t>门洞扩宽（高）</t>
  </si>
  <si>
    <t>必须符合承重及安全要求；砖体30元/m，若混凝土120元/m。</t>
  </si>
  <si>
    <t>栏杆拆除</t>
  </si>
  <si>
    <t>拆除等临边、洞孔安全保护设施</t>
  </si>
  <si>
    <t>遮阳布（网）、安全网、临时护栏等</t>
  </si>
  <si>
    <t>沉箱处理</t>
  </si>
  <si>
    <t>同层排水</t>
  </si>
  <si>
    <t>12红砖(靠墙06)单向基础；40mm厚含10mm钢筋(单层双向，间距150mm×150mm)600×600地砖(打灶砖)制作375元/㎡；若侧墙排水管需底口回填及找平另加25元/㎡。</t>
  </si>
  <si>
    <t>建渣回填</t>
  </si>
  <si>
    <t>建渣回填40元/㎡；若外找建渣回填120元/㎡，含转运费。</t>
  </si>
  <si>
    <t>线槽、线盒填补</t>
  </si>
  <si>
    <t>线管沿墙沿地10.5元/㎡、沿墙沿顶14.5元/㎡；按建筑面积计算(建筑外围面积)。</t>
  </si>
  <si>
    <t>原防水层拆除</t>
  </si>
  <si>
    <t>卷材、丙纶等</t>
  </si>
  <si>
    <t>墙地面专业防水处理</t>
  </si>
  <si>
    <t>西卡</t>
  </si>
  <si>
    <t>质保5年：丙纶防水(一遍)50元/㎡；劳亚尔砂浆防水65元/㎡；涤纶防水(一遍)75元/㎡；质保10年：瑞士西卡107 Plus Total超易涂防水浆料(三组份)界面剂一遍、浆料一遍80元/㎡。</t>
  </si>
  <si>
    <t>胶浆丙纶防水</t>
  </si>
  <si>
    <t>胶浆防水</t>
  </si>
  <si>
    <t>丙纶防水</t>
  </si>
  <si>
    <t>涤纶防水</t>
  </si>
  <si>
    <t>砂浆防水</t>
  </si>
  <si>
    <t>墙地面延保加固专业防水处理</t>
  </si>
  <si>
    <t>西卡+涤纶</t>
  </si>
  <si>
    <t>质保15年:瑞士西卡107Plus Total超易涂防水浆料(三组份)界面剂一遍、浆料一遍)+涤纶(一遍)130元/㎡</t>
  </si>
  <si>
    <t>地面沙灰找平(不含楼板防漏处理)</t>
  </si>
  <si>
    <t>沙灰厚度超出50mm内另实际面积加12元/㎡。若刷素水泥浆另加10元/㎡，若按其它工艺按对应项计价。</t>
  </si>
  <si>
    <t>地暖找平及保护层处理</t>
  </si>
  <si>
    <t>找平+保护</t>
  </si>
  <si>
    <t>地暖安装前找平14元/㎡及安装后地暖保护16元/㎡。</t>
  </si>
  <si>
    <t>地砖安装(眯缝/正贴)</t>
  </si>
  <si>
    <t>长边600mm-800mm眯缝:正贴35元/㎡；斜贴及工字缝安装50元/㎡；拼花/留(卡缝)等安装每项增加10元/m2；波打线另计25元/m,其它规格或工艺另议；沙灰厚度超出50mm内另实际面积加14元/㎡。</t>
  </si>
  <si>
    <t>安装踢脚线</t>
  </si>
  <si>
    <t>瓷砖10元/m，若石材18元/m、马赛克25元/m、抹灰填补或找平8元/m。</t>
  </si>
  <si>
    <t>刷素水泥浆</t>
  </si>
  <si>
    <t>素水泥（水泥甲供）及专用胶，楼板一次性防渗漏处理。</t>
  </si>
  <si>
    <t>墙面砖安装(眯缝/正贴)</t>
  </si>
  <si>
    <t>不含背胶</t>
  </si>
  <si>
    <t>若152×152及以下64元/㎡，300(200或600)mm×600mm35/元㎡，800mm×400(200)mm41元/㎡,若斜贴/拼花/留(卡)缝、对天地缝等安装每项增加10元/㎡；腰线、边带安装20元/m：其它规格、工艺、碰角另计费，沙灰厚度超出30mm内另实际面积加14元/㎡；隐藏安装面积计入计价数量。</t>
  </si>
  <si>
    <t>墙面砖(石材)等背胶处理</t>
  </si>
  <si>
    <t>辊背胶含材料：砖及石材背面辊胶15元/㎡、墙面沙灰辊胶10元/㎡；甲供背胶（人工费）辊胶每面5元/㎡。</t>
  </si>
  <si>
    <t>墙地、面砖(石材)碰角</t>
  </si>
  <si>
    <t>按墙地、面砖(石材)每一阳角所碰角长度计量。</t>
  </si>
  <si>
    <t>防滑砖安装(眯缝/正贴)</t>
  </si>
  <si>
    <t>按墙面砖规格所对应墙砖安装单价计费。</t>
  </si>
  <si>
    <t>地面石材安装</t>
  </si>
  <si>
    <t>10㎡以上基价按80元/㎡计价，若拼花/留(卡)缝安装每项增加20元/㎡,波打线增加20元/m；10㎡以下基价按110元/㎡计价；不含精面处理及防污处理。</t>
  </si>
  <si>
    <t>波打线、边带及腰线安装</t>
  </si>
  <si>
    <t>单根计量米</t>
  </si>
  <si>
    <t>人工费；多(色)块已粘接成整体按单根计量，多(色)块未粘接成整体按多根计量；材料客户自备。</t>
  </si>
  <si>
    <t>墙地面砖勾缝处理</t>
  </si>
  <si>
    <t>按照墙地面所勾缝区域面积计量；勾缝剂甲供。</t>
  </si>
  <si>
    <t>墙地砖美缝处理</t>
  </si>
  <si>
    <t>10年质保（瓷白色/榉木白/卡其灰/古迪银/富士银仅无不变色质保）：600*1200、800*800、400*800、400*400、300*600、300*300规格墙地砖不超过2.5mm缝宽，使用"普利兹克"美晶瓷美缝，22色可选28元/㎡；墙地砖规格及缝宽超出限制另议价。</t>
  </si>
  <si>
    <t>墙面面材湿贴挂丝(或干粘)安装</t>
  </si>
  <si>
    <t>干粘</t>
  </si>
  <si>
    <t>不含主、辅料；装饰墙面湿贴120元/㎡、若基层板(另计费)上干粘或湿贴挂丝150元/㎡，石材门窗套190元/m;如干挂墙面850元/㎡、门窗套600元/m(含专用配件、角钢、云石胶);均不含精面及防污处理。</t>
  </si>
  <si>
    <t>墙、地面沙灰垫层</t>
  </si>
  <si>
    <t>沙灰层厚度墙面大于30mm、地面大于50mm14元/㎡；超厚度每增加一次施工次数另增人工费14元/㎡。</t>
  </si>
  <si>
    <t>台面(飘窗等)石材安装</t>
  </si>
  <si>
    <t>飘窗台、飘窗柜、矮柜及吧台台面等石材安装；材料甲供，不含精面处理及防污处理。</t>
  </si>
  <si>
    <t>梯步木地板沙灰找平层</t>
  </si>
  <si>
    <t>按施工面计算面积。</t>
  </si>
  <si>
    <t>梯步面层安装</t>
  </si>
  <si>
    <t>不含梯步砖体制作、精面及防污处理；若安装:边带20元/m、梯帮40元/m，三角板15元/个；展开计算。</t>
  </si>
  <si>
    <t>梯步三角板安装</t>
  </si>
  <si>
    <t>甲供已加工成品三角板</t>
  </si>
  <si>
    <t>窗台石/门槛石/基石/梯帮安装</t>
  </si>
  <si>
    <t>窗台宽度240mm以内；不含精面处理及防污处理。</t>
  </si>
  <si>
    <t>窗台瓷砖安装</t>
  </si>
  <si>
    <t>石材地台制作</t>
  </si>
  <si>
    <t>宽600mm、高180mm内180元/m；含砌砖/回填/抹灰/石材(马赛克另加100元/m)安装费；材料甲供。</t>
  </si>
  <si>
    <t>纸皮砖/外墙砖安装</t>
  </si>
  <si>
    <t>同一房间或外墙安装120元/㎡，若面积小于3㎡、曲面或异型安装，价格为180元/㎡。马赛克240元/㎡</t>
  </si>
  <si>
    <t>外墙纸皮砖/外墙砖安装</t>
  </si>
  <si>
    <t>纸皮砖安装为160元/㎡；马赛克260元/㎡</t>
  </si>
  <si>
    <t>钢网抹灰</t>
  </si>
  <si>
    <t>含钢网。</t>
  </si>
  <si>
    <t>砌玻璃砖墙</t>
  </si>
  <si>
    <t>材料客户自备，按工艺标准执行。</t>
  </si>
  <si>
    <t>蹲（座或小）便器安装</t>
  </si>
  <si>
    <t>不含水箱及龙头</t>
  </si>
  <si>
    <t>卫生门(窗)安装</t>
  </si>
  <si>
    <t>人工费；材料客户自备。</t>
  </si>
  <si>
    <t>拖帕池安装</t>
  </si>
  <si>
    <t>不含龙头安装。</t>
  </si>
  <si>
    <t>移动脚手架租赁、拆安</t>
  </si>
  <si>
    <t>用于跃层或需登高作业的建筑结构等。</t>
  </si>
  <si>
    <t>临时设施及辅料</t>
  </si>
  <si>
    <t>红外线基准仪基线、高凳、保护垫层，扫把、临时用电材料,找箱费(3.2m以下）等.按建筑面积计算（建筑外围面积）。</t>
  </si>
  <si>
    <t>墙顶面抹灰面固化处理</t>
  </si>
  <si>
    <t>按建筑面积计算</t>
  </si>
  <si>
    <t>除厨房、卫生间、生活阳台等用水区域外:墙顶面辊涂墙固一遍封底，沙灰找平后地面辊涂墙固一遍封底。</t>
  </si>
  <si>
    <t>地面沙灰层固化处理</t>
  </si>
  <si>
    <t>基础保护</t>
  </si>
  <si>
    <t>定制PS窗保及台面保护、KT板线盒、下水管帽。</t>
  </si>
  <si>
    <t>地砖、防滑砖、石材地面保护</t>
  </si>
  <si>
    <t>定制人造棉覆膜地贴</t>
  </si>
  <si>
    <t>建渣及垃圾转运费</t>
  </si>
  <si>
    <t>拆除砌体/楼板/窗板/土建楼梯/梁柱/(墙地面砖及沙灰层减半计算)等,5层内35元/㎡(超出5层每层另加7元/㎡,电梯房按5层计算；其它垃圾5层内转运费6.8元/㎡；除部分建渣用于回填外，转运至单元或电梯门出口20m范围内。</t>
  </si>
  <si>
    <t>超距离废土转运费及倒土费</t>
  </si>
  <si>
    <t>超出单元或电梯门出口20m以内堆放拆除建渣，人力及车运等超范围转运另议价；若建渣外运,加上车、倒土及车运费(1T货车:700元/车、三轮:260元/车)。</t>
  </si>
  <si>
    <t>保洁</t>
  </si>
  <si>
    <t>保洁，按建筑面积计算（建筑外围面积）</t>
  </si>
  <si>
    <t>小计(元)</t>
  </si>
  <si>
    <t>二、水电隐蔽工程</t>
  </si>
  <si>
    <t>（一）电工类（人工费）</t>
  </si>
  <si>
    <t>强电线路预埋</t>
  </si>
  <si>
    <t>按建筑面积计算(建筑外围面积)，若不足100㎡按100㎡算；七组回路内,每增一组加1.0元/㎡；弱电管线沿墙沿地预埋6.5元/㎡；开关插座安装5.5元/㎡；强电线路沿墙沿地预埋16元/㎡、若沿墙沿顶预埋29.5元/㎡（机械钻孔另计费）；若面积不足100㎡按100㎡计算。</t>
  </si>
  <si>
    <t>弱电线路预埋</t>
  </si>
  <si>
    <t>开关插座安装</t>
  </si>
  <si>
    <t>强弱电箱移位</t>
  </si>
  <si>
    <t>辅助光源安装</t>
  </si>
  <si>
    <t>按建筑面积计算(建筑外围面积)，若不足100㎡按100㎡算</t>
  </si>
  <si>
    <t>（二）管道类（管件不另计费）</t>
  </si>
  <si>
    <t>冷热给水管及安装</t>
  </si>
  <si>
    <t>“鹏飞专用”PPR给水管均采用热水管；"沿墙沿地"敷设：含管件及辅料φ20×2.8管52元/米，φ25×3.5管61元/m；若保温套另计5.2元/m；若"沿墙沿顶"敷设：含管件及辅料φ20×2.8管71元/m，φ25×3.5管82元/m，外露管含保温套、吊卡；含给水总阀、冷水临时用水嘴各1只；过滤器（自备）安装费及超出总阀160元/个。预算计量暂按：一厨一卫38m（沿墙沿顶66m）,每增加一卫增加20m（沿墙沿顶40m）管道估算,安装验收后按现场实际方量结算；机械钻孔另计费。跃层、别墅、三卫及以上必须采用φ25管。</t>
  </si>
  <si>
    <t>三、木制作部份 （不含石材、油漆、五金件、涂料等）</t>
  </si>
  <si>
    <t>欧松板基层贴装饰面板；现场制作，门锁、配件客户自备；标门1380元/扇，800×2200门1600元/扇。</t>
  </si>
  <si>
    <t>装饰面板,成品木制线条；现场制作,门锁、配件客户自备；标门1380元/扇，800×2200门1600元/扇。</t>
  </si>
  <si>
    <t>全玻(地弹)门</t>
  </si>
  <si>
    <t>12mm钢化白玻，含地弹簧全玻门580元/㎡（若矩管全框按860元/㎡计价），拉手及其它五金件自备。</t>
  </si>
  <si>
    <t>标准门套</t>
  </si>
  <si>
    <t>木龙骨架、12mm厚欧松板基层企口、面贴装饰面板；欧式另计。</t>
  </si>
  <si>
    <t>推拉门门套</t>
  </si>
  <si>
    <t>防盗门门套</t>
  </si>
  <si>
    <t>木龙骨架间距300mm、12mm厚欧松板基层、面贴装饰面板；欧式另计。</t>
  </si>
  <si>
    <t>平内窗套</t>
  </si>
  <si>
    <t>12mm厚欧松板基层面贴装饰面板；欧式另计。</t>
  </si>
  <si>
    <t>平外窗套</t>
  </si>
  <si>
    <t>飘窗窗套</t>
  </si>
  <si>
    <t>门窗洞洞口石膏板基层</t>
  </si>
  <si>
    <t>门窗洞洞口几何误差石膏板基层校对处理</t>
  </si>
  <si>
    <t>门窗套、飘窗、橱柜欧松板基层</t>
  </si>
  <si>
    <t>12mm厚欧松板基层。</t>
  </si>
  <si>
    <t>窗帘盒</t>
  </si>
  <si>
    <t>木龙骨罩石膏板，高度200mm内。</t>
  </si>
  <si>
    <t>石膏板倒踢脚线</t>
  </si>
  <si>
    <t>高度300mm内倒踢脚线为平级55元/m、跌级70元/m；超出高度单价按比例调增。</t>
  </si>
  <si>
    <t>平级</t>
  </si>
  <si>
    <t>跌级</t>
  </si>
  <si>
    <t>(阴角、平、半圆)石膏线条</t>
  </si>
  <si>
    <t>8cm</t>
  </si>
  <si>
    <t>机制阴角、平、半圆线可视面宽：8cm内15元/m、10cm内21元/m、14cm内28元/m；若线型需开模400元/个。</t>
  </si>
  <si>
    <t>(双眼皮)石膏线条</t>
  </si>
  <si>
    <t>15cm</t>
  </si>
  <si>
    <t>手工双眼皮线条可视面宽：10cm内17元/m、15cm内22.5元/m、18cm内28元/m、23cm内34元/m、28cm内42元/m；若线型需开模400元/个。</t>
  </si>
  <si>
    <t>石膏板平吊顶</t>
  </si>
  <si>
    <t>常高</t>
  </si>
  <si>
    <t>轻钢龙骨架罩纸面石膏板，平顶148元/㎡、造型及跌级顶178元/㎡；展开计算；层高3.2m 以上另加30元/㎡；其它材质、异型、线条及其它另计；隐藏吊顶面积计入计价数量。</t>
  </si>
  <si>
    <t>超高</t>
  </si>
  <si>
    <t>石膏板跌级吊顶</t>
  </si>
  <si>
    <t>轻质隔墙</t>
  </si>
  <si>
    <t>轻钢龙骨架、单面石膏板95元/㎡；若双面石膏板另加45元/㎡；若加15mm欧松板每面加75/㎡；100mm厚石膏砌块90元/m2；展开计算；隐藏隔墙面积计入计价数量。</t>
  </si>
  <si>
    <t>欧松板(或中纤板)基层</t>
  </si>
  <si>
    <t>无龙骨</t>
  </si>
  <si>
    <t>在原始墙面或已计价的其它表面上(若加龙骨另加80元/㎡)铺贴单层欧松板(或中纤板)180元/㎡，展开计算。</t>
  </si>
  <si>
    <t>包梁、柱等</t>
  </si>
  <si>
    <t>木龙骨+石膏板装饰：400mm以内130元/m，若加欧松板另加80元/m，加面板另加90元/m</t>
  </si>
  <si>
    <t>欧松板+石膏板装饰(墙/顶/柱等)</t>
  </si>
  <si>
    <t>在原始墙面或已计价的其它表面铺贴单层欧松板及石膏板245元/㎡(若加龙骨另加80元/㎡)，展开计算。</t>
  </si>
  <si>
    <t>有龙骨</t>
  </si>
  <si>
    <t>欧松板+面板装饰(墙/顶/柱等)</t>
  </si>
  <si>
    <t>在原始墙面或已计价的其它表面铺贴单层欧松板及面板350元/㎡(若加龙骨另加80元/㎡)，展开计算。</t>
  </si>
  <si>
    <t>软硬包安装费(基层另计费)</t>
  </si>
  <si>
    <t>硬包</t>
  </si>
  <si>
    <t>在已有基层上安装，软(硬)包面料甲供；软包含高密度泡沫及安装180元/㎡，硬包安装120元/㎡。</t>
  </si>
  <si>
    <t>软包</t>
  </si>
  <si>
    <t>无龙骨软包基层</t>
  </si>
  <si>
    <t>有龙骨软包基层</t>
  </si>
  <si>
    <t>无龙骨软包基层含安装</t>
  </si>
  <si>
    <t>有龙骨软包基层含安装</t>
  </si>
  <si>
    <t>无龙骨硬包基层</t>
  </si>
  <si>
    <t>有龙骨硬包基层</t>
  </si>
  <si>
    <t>无龙骨硬包基层含安装</t>
  </si>
  <si>
    <t>有龙骨硬包基层含安装</t>
  </si>
  <si>
    <t>造型（凹凸）墙裙装饰</t>
  </si>
  <si>
    <t>欧松板基层，面贴面板(或中纤板)，展开计算；不含线条、石材、油漆、五金件、涂料等。</t>
  </si>
  <si>
    <t>木制（或土建）地台制作</t>
  </si>
  <si>
    <t>高240mm内；木龙骨欧松板基层，不含面材265元/㎡，高度每增加150mm增加60元/㎡，按面层展开计算；若为建渣灌浆填充，150mm内高单价为145元/㎡，高度每增加150mm增加30元/㎡。</t>
  </si>
  <si>
    <t>艺术隔断</t>
  </si>
  <si>
    <t>具体式样、价格详见《施工图》，按立面展开计算。</t>
  </si>
  <si>
    <t>艺术吧台</t>
  </si>
  <si>
    <t>具体式样、价格详见《施工图》，按长度中心线计算；台面石材自备，若安装按石材长度80元/m计价。</t>
  </si>
  <si>
    <t>装饰壁龛</t>
  </si>
  <si>
    <t>具体样式、价格详见《施工图》。</t>
  </si>
  <si>
    <t>通玻隔墙</t>
  </si>
  <si>
    <t>10-12mm平板白玻280元/㎡,含安装及辅料；选用钢化玻璃为350元/㎡、若热弯玻璃为470元/㎡。</t>
  </si>
  <si>
    <t>5㎜烤漆玻璃装饰墙、顶</t>
  </si>
  <si>
    <t>若宽度200mm内加100元/㎡</t>
  </si>
  <si>
    <t>在已有基层上安装：直边正贴230元/㎡，车边正贴330元/㎡，直边正贴230元/㎡，车边斜贴470元/㎡。</t>
  </si>
  <si>
    <t>5mm镜面装饰装饰墙、顶</t>
  </si>
  <si>
    <t>在已有基层上安装：直边正贴普通银镜140元/㎡（灰镜、黑镜、茶色镜等有色镜玻200元/㎡）；车边另加100元/㎡、斜贴另加140元/㎡</t>
  </si>
  <si>
    <t>四、涂料、厨卫部份</t>
  </si>
  <si>
    <t>墙面基层处理</t>
  </si>
  <si>
    <t>1.墙顶面专用石膏粉打底一遍，腻子粉批刮二遍；2.表面2m内平整度误差（最大厚度）5mm以内，每超出5mm该完整面另加20元/ ㎡；3.拆分施工按每遍13.5元/㎡计价。</t>
  </si>
  <si>
    <t>顶面基层处理</t>
  </si>
  <si>
    <t>全墙挂网及阴阳角护角处理</t>
  </si>
  <si>
    <t>阴阳角红外线弹线及PVC护角找补顺直；全墙挂网，若仅线槽挂网减1元/㎡、若不挂网减3元/㎡。</t>
  </si>
  <si>
    <t>辊刷乳胶漆面漆</t>
  </si>
  <si>
    <t>"立邦" iHome竹炭易擦洗:11元/㎡、竹炭抗甲醛净味五合一18元/㎡；均为面漆辊涂两遍,如辊刷底漆一遍另加6元/㎡；如采用喷漆另增15元/㎡；面漆调色需采用"立邦"梦幻千色基础漆调制的增50元/㎡；如全屋超过3色另全面积每色增6元/㎡。若人工费按前述标准辊涂底漆一遍3元/㎡、面漆二遍6元/㎡。</t>
  </si>
  <si>
    <t>辊刷液体硅藻泥</t>
  </si>
  <si>
    <t>"兰舍"乐涂液体硅藻泥:22元/㎡；面漆辊涂两遍,如辊刷底漆一遍另加6元/㎡；如全屋超过3色另全面积每色增10元/㎡。若人工费按前述标准辊涂底漆一遍3元/㎡、面漆二遍6元/㎡。</t>
  </si>
  <si>
    <t>墙面顶面腻子超高费用</t>
  </si>
  <si>
    <t>当施工顶面、墙面需使用移动脚手架施工时，该房间按照全面积（非局部）另增加费用。</t>
  </si>
  <si>
    <t>厨卫铝扣板吊顶</t>
  </si>
  <si>
    <t>"阿里斯顿"300mm×300mm×0.6mm板；数量=实际收方量+损耗10%，或按供货量计算。</t>
  </si>
  <si>
    <t>厨卫铝阴角</t>
  </si>
  <si>
    <t>配套阴角线；数量=实际收方量+损耗20%，或按供货量计算。</t>
  </si>
  <si>
    <t>定制整体橱柜(不含烟灶、菜盆)</t>
  </si>
  <si>
    <t>鹏飞定制颗粒柜体</t>
  </si>
  <si>
    <t>鹏飞定制多层柜体</t>
  </si>
  <si>
    <t>金牌橱柜</t>
  </si>
  <si>
    <t>博洛尼橱柜</t>
  </si>
  <si>
    <t>1.600mm宽750mm高内地柜采用：环保E1级18mm厚实木颗粒免漆板柜体；柜门：G型拉手18mm厚实木颗粒免漆板平板门；2.含15mm厚600mm宽内单色石英石台面、同质高度60mm内拼接直边挡水线，304合页、缓冲抽滑材料及安装，其它功能件仅安装；4.尺寸超标及其它另计费。</t>
  </si>
  <si>
    <t>1.600mm宽750mm高内地柜采用：环保E1级18mm厚实木多层板面漆板柜体；柜门：G型拉手18mm厚实木颗粒免漆亮光板平板门；2.含15mm厚单色石英石台面、同质高度60mm内拼接R边挡水线，304合页、缓冲抽滑材料及安装，其它功能仅安装；4.尺寸超标及其它另计费。</t>
  </si>
  <si>
    <t>环保E0级18mm厚实木颗粒免漆板590mm深地柜柜体，15mm厚石英石台面，含垫板雪弗板、围脚、标配拉手及不锈钢飞机阻尼合页，尺寸超标及拉篮等另计费。</t>
  </si>
  <si>
    <t>柜体600mm宽720mm高，最后加踢脚板可以完成高度可有820-920mm内，博洛尼环保E1级（甲醛释放优于国标3倍）18mm厚实木颗粒免漆板，15mm石英石台面，含标配围脚、拉手及脚链（奥地利原装进口），尺寸超标及其它另计费。</t>
  </si>
  <si>
    <t>定制厨房吊柜</t>
  </si>
  <si>
    <t>1.350mm深内700mm高内(超高可采用免漆板围板)吊柜：采用18mm厚实木颗粒免漆板柜体；柜门：G型拉手18mm厚实木颗粒免漆板平板门；2.2个内翻门气撑、304合页材料及安装，其它功能仅安装；3.尺寸超标及其它另计费。</t>
  </si>
  <si>
    <t>1.350mm深内700mm高内吊柜：采用18mm厚实木多层免漆板柜体；柜门：G型拉手18mm实木颗粒免漆亮光板平板门；2.2个内翻门气撑、304合页及安装，其它功能仅安装；3.尺寸超标及其它另计费。</t>
  </si>
  <si>
    <t>环保E0级18mm厚实木颗粒免漆板330mm深700mm高柜体；18mm厚实木颗粒免漆板平板门；标配拉手及飞机合页；尺寸超标及见光板、围板、功能件等另计费。</t>
  </si>
  <si>
    <t>吊柜柜体加门板的厚度是350mm，高度是720mm，博洛尼环保E1级（甲醛释放优于国标3倍）18mm厚实木颗粒免漆板，尺寸超标及其它另计费。</t>
  </si>
  <si>
    <t>整体橱柜及盥洗台(不含烟灶及菜盆)</t>
  </si>
  <si>
    <t>现场制作</t>
  </si>
  <si>
    <t>600mm宽750mm高内地柜采用：砖混结构，含打灶砖、钢筋、100丝304哑光拉丝银不锈钢边框；柜门：G型拉手，标配18mm厚实木颗粒免漆板平板门或晶钢门；含台面花岗石(甲供)，合页、抽滑(另计费)安装，其它功能仅件安装。柜体+柜门：1100元/m，仅柜体880元/m</t>
  </si>
  <si>
    <t>地柜(甲供)</t>
  </si>
  <si>
    <t>地柜(整套)</t>
  </si>
  <si>
    <t>地柜(门甲供)</t>
  </si>
  <si>
    <t>地柜(台面甲供)</t>
  </si>
  <si>
    <t>地柜(仅柜体)</t>
  </si>
  <si>
    <t>厨房橱柜（地柜）均由客户自备；烟机、灶具、菜盆及龙头等甲供甲安装。</t>
  </si>
  <si>
    <t>1.600mm宽750mm高内地柜采用：砖混结构，含打灶砖、钢筋、100丝304哑光拉丝银不锈钢边框；柜门：G型拉手18mm厚实木颗粒免漆板平板门或标配晶钢门；2.含台面(可含高度60mm内拼接直边挡水线)花岗石、合页、抽滑材料及安装，其它功能仅安装。</t>
  </si>
  <si>
    <t>1.600mm宽750mm高内地柜采用：砖混结构，含打灶砖、钢筋、100丝304哑光拉丝银不锈钢边框；2.含台面(可含高度60mm内拼接直边挡水线)花岗石及安装，其它功能件仅安装；3.柜门、柜抽及合页、抽滑甲供甲安装；4.若洗手台：洁具、龙头及下水等甲供甲安装。</t>
  </si>
  <si>
    <t>1.600mm宽750mm高内地柜采用：砖混结构，含打灶砖、钢筋、100丝304哑光拉丝银不锈钢边框；柜门：G型拉手18mm厚实木颗粒免漆板平板门或标配晶钢门；2.仅花岗石台面、挡水线甲供乙安装，含合页、抽滑材料及安装，其它功能仅安装；3.其它台面及挡水线甲供甲安装；4.若洗手台：洁具、龙头及下水等甲供甲安装。</t>
  </si>
  <si>
    <t>1.600mm宽750mm高内地柜采用：砖混结构，含打灶砖、钢筋、100丝304哑光拉丝银不锈钢边框；2.仅花岗石台面、挡水线甲供乙安装；3.柜门、柜抽及合页、抽滑材料甲供甲安装，其它功能仅安装；4.其它台面及挡水线甲供甲安装；5.若洗手台：洁具、龙头及下水等甲供甲安装。</t>
  </si>
  <si>
    <t>厨房吊柜</t>
  </si>
  <si>
    <t>定制</t>
  </si>
  <si>
    <t>采用标配18mm厚实木颗粒免漆板柜体，350mm深内700mm高内(超高可采用免漆板围板)柜体；柜门：G型拉手，标配18mm厚实木颗粒免漆板平板门或晶钢门；含合页及安装，其它功能件仅安装900元/m，无门-154/m。</t>
  </si>
  <si>
    <t>吊柜(甲供)</t>
  </si>
  <si>
    <t>吊柜(整套)</t>
  </si>
  <si>
    <t>吊柜(仅柜体)</t>
  </si>
  <si>
    <t>厨房橱柜（吊柜）均由客户自备；烟机、灶具、菜盆及龙头等甲供甲安装。</t>
  </si>
  <si>
    <t>1.350mm深内700mm高内(超高可采用免漆板围板)吊柜：采用18mm厚实木颗粒免漆板(或同地柜)柜体；柜门：G型拉手18mm厚实木颗粒免漆板平板门或标配晶钢门；2.含合页及安装，其它功能仅安装。</t>
  </si>
  <si>
    <t>1.350mm深700mm高内(超高可采用免漆板围板)吊柜采用：免漆板板式(或同地柜)柜体；2.柜门、合页等甲供甲安装，其它功能仅安装。</t>
  </si>
  <si>
    <t>1.600mm宽750mm高内地柜采用：砖混结构，含打灶砖、钢筋、100丝304哑光拉丝银不锈钢边框；2.350mm深700mm高内(超高可采用免漆板围板)吊柜采用：免漆板板式(或同地柜)柜体；3.仅花岗石台面、挡水线甲供乙安装；4.柜门、柜抽及合页、抽滑材料甲供甲安装，其它功能仅安装；5.菜盆及菜盆龙头甲供甲安装。注：灶台长度为3.0米内；吊柜为1.0米内。</t>
  </si>
  <si>
    <t>灶砖吊柜柜体</t>
  </si>
  <si>
    <t>350mm深700mm高砖混柜体，含打灶砖、钢筋、100丝304哑光拉丝银不锈钢边框；柜门：G型拉手，标配18mm厚实木颗粒免漆板平板门或晶钢门；含合页(另计费)及安装，其它功能件仅安装。无门-154/m。</t>
  </si>
  <si>
    <t>UV门</t>
  </si>
  <si>
    <t>晶钢门</t>
  </si>
  <si>
    <t>木纹板门</t>
  </si>
  <si>
    <t>吸塑门</t>
  </si>
  <si>
    <t>实木门</t>
  </si>
  <si>
    <t>碳光门</t>
  </si>
  <si>
    <t>五、家俱部份(不含石材、油漆、五金件、涂料等)工艺说明：定制18mm免漆板柜体5mm中纤板免漆板背板制作或面板柜体欧松板贴内膛板(外可视面贴面板)、背板九厘板贴内膛板；仅定制柜门含合页。</t>
  </si>
  <si>
    <t>定制免漆板或面板壁式组合柜柜体及榻榻米柜体(不含门）</t>
  </si>
  <si>
    <t>瑞森板</t>
  </si>
  <si>
    <t>厚600mm内、柜体板式结构、按展开投影面计算；免漆板单价(元/㎡)：瑞森板475、露水河板575、多层板710元/㎡、露水河E0板725；面板单价(元/㎡)：505；若免漆板现场制作707；单组柜体每3㎡可含1个抽屉、超出抽屉及百宝格等另计费；含标配衣通。若灶砖柜体820元/㎡。</t>
  </si>
  <si>
    <t>定制免漆板或面板鞋柜、酒柜、书柜柜体(不含门）</t>
  </si>
  <si>
    <t>厚350mm内，柜体板式结构，按正立面展开计算；免漆板单价(元/㎡)：瑞森板495、露水河板595、多层板735、露水河E0板775；面板单价(元/㎡)：675；若免漆板现场制作945；单组柜体每3㎡可含1个抽屉，鞋柜含标配透气孔、超出抽屉及多宝格等另计费。若灶砖柜体980元/㎡。</t>
  </si>
  <si>
    <t>定制免漆板或面板吊柜柜体(不含门)</t>
  </si>
  <si>
    <t>厚350mm内，柜体板式结构，按正立面展开计算；免漆板单价(元/㎡)：瑞森板475、露水河板575、多层板710、露水河E0板725；面板单价：815；若免漆板现场制作1140。</t>
  </si>
  <si>
    <t>平开门、硬背、围板等</t>
  </si>
  <si>
    <t>免漆板平板门单价(元/㎡):瑞森板345、露水河板380、多层板445、露水河E0板725；免漆板拼框门单价(元/㎡):瑞森板380、露水河板415、多层板480；其它单价(元/㎡):吸塑510、UV平板、G型拉手半隐晶钢门510、无转换条包覆门595、带转换条包覆门610、平板烤漆610、汽车烤漆745、橡木直接1210，钢化玻璃门（含拉手）960；面板单价:百叶270、平板门190；若免漆板现场制作266；面板拉手合页另计费、非面板门标配拉手及合页(见展厅)、G型拉手免漆门另加36元/㎡，如需门柱、顶线、眉线等另计费。轻奢系列(元/㎡):PET进口亮光板480、PET进口亮光板+金属条640（若加1m内一字拉手70元/个）。</t>
  </si>
  <si>
    <t>定制推拉门</t>
  </si>
  <si>
    <t>通大三元</t>
  </si>
  <si>
    <t>定制通大三元280、百叶夹腰线332、白(深红)色多格门380、半隐框插色392、50框吸塑412、65框吸塑492、钢化玻璃960；含标配轨道及防撞条（若加装阻力器280元/套）。</t>
  </si>
  <si>
    <t>定制免漆板或面板床箱及靠</t>
  </si>
  <si>
    <t>1.8m内实木颗粒板免漆板床</t>
  </si>
  <si>
    <t>宽1.2-1.8m高0.4m内床箱：免漆板含普通垫板或欧松板贴内膛板外可视面贴面板，靠背非同质面料客户自备，无抽屉；免漆板单价：瑞森板1.2m内1340、1.5m内1645、1.8m内1855，露水河板1.2m内1340、1.5m内1945、1.8m内、多层板1.2m内1840、1.5m内2245、1.8m内2555；面板单价：1.2m内1540、1.5m内1845、1.8m内2155，若免漆板现场制作为面板对应价额的1.4倍。无背靠均减200元、侧靠另计费。</t>
  </si>
  <si>
    <t>定制免漆板或面板床头柜</t>
  </si>
  <si>
    <t>瑞森板免漆板</t>
  </si>
  <si>
    <t>长0.6m内：免漆板280-370元/个、含同质柜门（其它材质另计费）及抽屉；免漆板单价：瑞森板280、露水河板320、多层板370；面板单价：370；若免漆板现场制作518。</t>
  </si>
  <si>
    <t>定制免漆板或面板电脑桌(写字台)</t>
  </si>
  <si>
    <t>含抽屉、键盘、主机箱各1个；免漆板单价：瑞森板545、露水河板635、多层板765、露水河E0板775；面板单价：675；若免漆板现场制作945。</t>
  </si>
  <si>
    <t>定制免漆板或面板电视柜、矮柜及飘窗柜</t>
  </si>
  <si>
    <t>实木颗粒飘窗柜体</t>
  </si>
  <si>
    <t>高600mm内，柜体板式结构，按正立面展开计算；免漆板单价：瑞森板电视柜、矮柜及飘窗柜柜体520、露水河板电视柜、矮柜及飘窗柜柜体620、、多层板电视柜、矮柜及飘窗柜柜体720；面板单价：电视柜及矮柜540、土木飘窗柜720含"晶彩"金刚门；若免漆板现场制作电视柜及矮柜756、土木飘窗柜1008；单组柜体每3㎡可含1个抽屉、不含石材台面等。若电视地台制作(含甲供石材安装)680元/m。</t>
  </si>
  <si>
    <t>衣柜升级：推拉衣镜、推门阻力器、升降衣架、置物架</t>
  </si>
  <si>
    <t>升级产品</t>
  </si>
  <si>
    <t>请填写明细：</t>
  </si>
  <si>
    <t>定制免漆板或面板柜体内超出部分抽屉及百宝格等</t>
  </si>
  <si>
    <t>柜体内抽屉、百宝格，板式结构，宽度600mm以内；免漆板单价：瑞森板100、露水河板120、多层板及生态指节板160、露水河E0板180；面板单价：140；若免漆板现场制作196。</t>
  </si>
  <si>
    <t>六、油漆部份（单项：少于5㎡在原单价基础上加150元/㎡；少于10㎡原单价基础上加100元/㎡；少于18㎡原单价基础上加50元/㎡）</t>
  </si>
  <si>
    <t>喷透明、带色、带色透明漆</t>
  </si>
  <si>
    <t>二底二面</t>
  </si>
  <si>
    <t>"三棵树"二代木净丽或"华润"嘉家易系列；红黄黑实色漆另加20元/㎡；"数量"按照实际收方量×1.2系数计算</t>
  </si>
  <si>
    <t>擦色漆</t>
  </si>
  <si>
    <t>"三棵树"二代木净丽或"华润"嘉家易系列；"数量"按照实际收方量×1.2系数计算</t>
  </si>
  <si>
    <t>喷漆、擦色：木线条及木漆面等</t>
  </si>
  <si>
    <t>宽100mm内</t>
  </si>
  <si>
    <t>"三棵树"二代木净丽或"华润"嘉家易系列；红黄黑实色漆另加20元/m；"数量"按照实际收方量×1.2系数计算</t>
  </si>
  <si>
    <t>七、个性部份（不含石材、油漆、五金件、涂料等）</t>
  </si>
  <si>
    <t>异型(或硅酸钙板)吊顶</t>
  </si>
  <si>
    <t>坡/穹/弧</t>
  </si>
  <si>
    <t>纸面石膏板(或硅酸钙板)，龙骨间距400mm刷防火涂料198元/㎡。展开计算，层高3.2m 以上另加30元/㎡。</t>
  </si>
  <si>
    <t>木（杉木或生态板）扣板</t>
  </si>
  <si>
    <t>免漆板</t>
  </si>
  <si>
    <t>木龙骨架,杉木板白胚,不含油漆130元/㎡(免漆板145元/㎡)含阴角线，生态板190元/㎡；若刷防火涂料另加10元/㎡；展开计算；层高3.2m 以上另加30元/㎡。</t>
  </si>
  <si>
    <t>防腐木及木塑（生态木）地台</t>
  </si>
  <si>
    <t>防腐木</t>
  </si>
  <si>
    <t>防腐木白胚25mm厚*90mm宽(均含5mm锯路)430元/㎡，若木油另加60元/㎡；木塑(生态木)25*140方孔290元/㎡、圆孔380元/㎡；高度150mm内，按面层展开计算。</t>
  </si>
  <si>
    <t>方孔木塑</t>
  </si>
  <si>
    <t>圆孔木塑</t>
  </si>
  <si>
    <t>乳胶漆分色</t>
  </si>
  <si>
    <t>超出三色(含白色)，按全屋乳胶漆面积增加</t>
  </si>
  <si>
    <t>厨房卫生间刷乳胶漆原浆补差</t>
  </si>
  <si>
    <t>"立邦" iHome竹炭易擦洗:8元/㎡、竹炭抗甲醛净味五合一12元/㎡</t>
  </si>
  <si>
    <t>油漆分色</t>
  </si>
  <si>
    <t>超出三色(含白色)，按全屋油漆面积增加</t>
  </si>
  <si>
    <t>木线板(木基层贴面板或指节板)</t>
  </si>
  <si>
    <t>30×15</t>
  </si>
  <si>
    <t>30mm×15mm内20元/m，每增加一个10mm厚度或宽度另加12元/m；不含油漆及涂饰材料。</t>
  </si>
  <si>
    <t>不锈钢收边线</t>
  </si>
  <si>
    <t>展开60mm</t>
  </si>
  <si>
    <t>80丝不锈钢板，展开60mm内40元/m，展开宽度每增加10mm另加10元/m。</t>
  </si>
  <si>
    <t>铝塑板包装</t>
  </si>
  <si>
    <t>已计价的其它物体上(若加龙骨另加80元/㎡)铺贴单层欧松板及铝塑板380元/㎡，展开计算。</t>
  </si>
  <si>
    <t>八、五金件（现场制作部分）</t>
  </si>
  <si>
    <t>阻尼不锈钢飞机合页</t>
  </si>
  <si>
    <t>“万宝鹿王”液压静音铰链，按实结算。</t>
  </si>
  <si>
    <t>滑槽（含吊轮）</t>
  </si>
  <si>
    <t>推拉门</t>
  </si>
  <si>
    <t>“华庭”滑轮含安装，按实结算。</t>
  </si>
  <si>
    <t>三折抽滑</t>
  </si>
  <si>
    <t>副</t>
  </si>
  <si>
    <t>“格斯迪”(普通抽滑“啊力思”： 12元/副）, 按实结算。</t>
  </si>
  <si>
    <t>九、设计费 （设计范围仅为预算内装修部分；水、电、结构等图纸仅为示意图，如需专业图需另计费；客饭厅以外效果图另加300元/张；若纯设计合同按设计费按此预算书报价双倍计费。）</t>
  </si>
  <si>
    <t>按级别收费标准</t>
  </si>
  <si>
    <t>主笔</t>
  </si>
  <si>
    <t>主笔30元/㎡、高级60元/㎡、首席70元/㎡、总监100元/㎡；跃层及别墅增加高级30元/㎡、首席40元/㎡、总监50元/㎡标准：10元/㎡；面积不足100㎡按100㎡计算。</t>
  </si>
  <si>
    <t>直接费用（元）</t>
  </si>
  <si>
    <t>项目“一”+“二”+“三”……“九”</t>
  </si>
  <si>
    <t>管 理 费（元）</t>
  </si>
  <si>
    <t>计算式:（直接费用)×10%</t>
  </si>
  <si>
    <t>平层</t>
  </si>
  <si>
    <t>跃层</t>
  </si>
  <si>
    <t>叠拼及别墅</t>
  </si>
  <si>
    <t>税    金（元）</t>
  </si>
  <si>
    <t>（直接费用+管理费）×5.8%，出具票据时按结算金额收取。</t>
  </si>
  <si>
    <t>预算造价(元）</t>
  </si>
  <si>
    <t>计算式：直接费用＋管理费+税金。</t>
  </si>
  <si>
    <t>十、鹏飞定制免漆家具柜体(柜板厚18mm、实木颗粒柜体背板为厚5mm中纤板、实木多层板柜体为厚9mm多层背板；均不含柜门；按正投影展开计量；该项无任何优惠。)</t>
  </si>
  <si>
    <t>鹏飞定制("俞家"瑞森板)衣柜柜体</t>
  </si>
  <si>
    <t>深度0.6m内</t>
  </si>
  <si>
    <t>含运输、搬运、安装、“诺信”标配五金件；单个柜体每3㎡赠送1个抽屉，超出部分另计费；若柜体结构超出标准用量时，超出部分按照180元/㎡另计；若五金件更换按实调差。</t>
  </si>
  <si>
    <t>鹏飞定制("俞家"瑞森板)书、酒、鞋柜柜体</t>
  </si>
  <si>
    <t>深度0.3m内</t>
  </si>
  <si>
    <t>鹏飞定制("俞家"瑞森板)抽屉</t>
  </si>
  <si>
    <t>同色系</t>
  </si>
  <si>
    <t>含运输、搬运、安装、“诺信”标配五金件；若五金件更换按实调差。</t>
  </si>
  <si>
    <t>鹏飞定制("远盛"实木多层板)衣柜柜体</t>
  </si>
  <si>
    <t>含运输、搬运、安装、“诺信”标配五金件；抽屉另计费380元/个；若五金件更换按实调差。</t>
  </si>
  <si>
    <t>鹏飞定制("远盛"实木多层板)书、酒、鞋柜柜体</t>
  </si>
  <si>
    <t>鹏飞定制("远盛"实木多层板)抽屉</t>
  </si>
  <si>
    <t>定制家具预算造价(元)：</t>
  </si>
  <si>
    <t>该项目不另计管理费,预付款为代收款，用于抵扣卖场定金,实际发生费用由卖场收取</t>
  </si>
  <si>
    <t>工程预算总造价（元）：</t>
  </si>
  <si>
    <t>计算式：工程预算造价+定制家具预算造价</t>
  </si>
  <si>
    <t>其它说明：</t>
  </si>
  <si>
    <t>1、墙地面面材(砖及木地板等)、卫生洁具、电器(线材、管道、灯具、开关插座等)、五金件(拉手及锁具等)等客户自购；如客户选用基价材料以外品牌，单价按实调差。</t>
  </si>
  <si>
    <t>2、本预算不含涉及物业(装饰许可证、装修保证金、楼道清扫、垃圾清运、电梯使用、占道、小区管理费等装修期间所涉及费用)、城管、消防、安保、工商等预算外费用，相关费用由甲方自理。</t>
  </si>
  <si>
    <t>3、以上预算在施工过程中项目如有增减，决算时按实结算。</t>
  </si>
  <si>
    <t>4、工程竣工验收结算后，向客户提供《工程质保卡》，客户可享受公司装修项目贰年(水电隐蔽工程伍年)免费保修，非家庭装修保修时限减半计算、终身维护的优质服务。</t>
  </si>
  <si>
    <t>5、本预算价格有效期壹年，壹年后发包方按承包方当期执行预算版本重新计价。</t>
  </si>
  <si>
    <t>6、为保障甲、乙双方合法权益，合同及预算严格以双方签字认可的书面文字为依据，口头协议无法律效益。</t>
  </si>
  <si>
    <t>发包方签字：</t>
  </si>
  <si>
    <t>年    月    日</t>
  </si>
  <si>
    <t>承包方签章：                              年    月    日</t>
  </si>
  <si>
    <t>《装修项目调整表》</t>
  </si>
  <si>
    <t>套  系</t>
  </si>
  <si>
    <t>说明：《装修项目调整表》为预算版本未涉及项目，单价、计量方式须经过公司总部认定后，按照公司施工工艺标准执行。</t>
  </si>
  <si>
    <t>类  别</t>
  </si>
  <si>
    <t>分  部</t>
  </si>
  <si>
    <t>开凿强电线槽调差</t>
  </si>
  <si>
    <t>全屋沿墙沿地改沿墙沿顶7元/㎡，半屋4/㎡。</t>
  </si>
  <si>
    <t>开凿给水管道预埋暗槽</t>
  </si>
  <si>
    <t>间</t>
  </si>
  <si>
    <t>给水沿墙沿地改沿墙沿顶另加50/间（阳台按一间计算）。</t>
  </si>
  <si>
    <t>拆除屋顶盖瓦及沙灰层</t>
  </si>
  <si>
    <t>拆除内、外保温墙</t>
  </si>
  <si>
    <t>每3㎡计1㎡建渣及垃圾转运费</t>
  </si>
  <si>
    <t>拆除灶台（吊柜）砖体</t>
  </si>
  <si>
    <t>每1m计1㎡建渣及垃圾转运费</t>
  </si>
  <si>
    <t>橱柜</t>
  </si>
  <si>
    <t>飘窗</t>
  </si>
  <si>
    <t>门套</t>
  </si>
  <si>
    <t>拆除吊顶/轻质隔墙</t>
  </si>
  <si>
    <t>每1㎡计1㎡建渣及垃圾转运费</t>
  </si>
  <si>
    <t>挖卫生间回填层</t>
  </si>
  <si>
    <t>每1㎡计2㎡建渣及垃圾转运费</t>
  </si>
  <si>
    <t>拆除家具</t>
  </si>
  <si>
    <t>拆除石膏阴角线/踢脚线</t>
  </si>
  <si>
    <t>拆除木门套/窗套</t>
  </si>
  <si>
    <t>挖卫生间壁龛</t>
  </si>
  <si>
    <t>拆除地台</t>
  </si>
  <si>
    <t>拆除窗台石及红砖</t>
  </si>
  <si>
    <t>人工费</t>
  </si>
  <si>
    <t>新砌花台及水池砌体</t>
  </si>
  <si>
    <t>高度500mm以内，超出高度以10%起按比例增加；含抹灰。</t>
  </si>
  <si>
    <t>室内排水主管改造</t>
  </si>
  <si>
    <t>地面改造25元/m，墙面改造30元/m（室外60元/m）；材料甲供，若含材料另增60元/m</t>
  </si>
  <si>
    <t>下水管隔音处理</t>
  </si>
  <si>
    <t>50-110管均价50元/m，定制隔音材料，详见工艺展厅。</t>
  </si>
  <si>
    <t>特殊尺寸地砖安装人工费</t>
  </si>
  <si>
    <t>600×1200砖39元/㎡、900×900砖45元/㎡、750×1500砖68元/㎡、800×1600砖95元/㎡、900×1800砖108元/㎡、800×2400砖175元/㎡；拼花/留(卡缝)/错缝等安装每项增加10元/m2；波打线另计25元/m,其它规格或工艺另议。</t>
  </si>
  <si>
    <t>特殊尺寸墙砖安装人工费</t>
  </si>
  <si>
    <t>60×120文化石95元/㎡、800×800砖75元/㎡、900×(900~150)砖80元/㎡、600×1200砖70元/㎡，750×1500砖90元/㎡、800×1600砖120元/㎡、900×1800砖140元/㎡、800×2400砖245元/㎡；600×1200及以上改制条砖另加30元/㎡，800×800改制条砖另加15元/㎡。拼花/留(卡缝)/错缝等安装每项增加10元/㎡；波打线另计20元/m；均不含背胶施工；其它规格或工艺另议。</t>
  </si>
  <si>
    <t>辊背胶含材料：砖及石材背面15元/㎡、墙面沙灰基层10元/㎡；甲供背胶（人工费）辊每面5元/㎡。</t>
  </si>
  <si>
    <t>墙、顶面基层另加特殊处理</t>
  </si>
  <si>
    <t>表面2m内平整度误差（最大厚度）2-3mm以内</t>
  </si>
  <si>
    <t>辊刷乳胶漆底漆一遍</t>
  </si>
  <si>
    <t>抗碱底漆辊刷一遍6元/㎡；若甲供材料，人工费3元/㎡。</t>
  </si>
  <si>
    <t>新增建渣及垃圾转运费</t>
  </si>
  <si>
    <t>起始层35元/㎡(超出5层每层另加7元/㎡，电梯按5层但室内楼层按超出层计算)；除部分建渣用于回填外，转运至单元或电梯门出口20m范围内。</t>
  </si>
  <si>
    <t>新增超距离废土转运费及倒土费</t>
  </si>
  <si>
    <t>现浇板凿砖墙安装槽</t>
  </si>
  <si>
    <t>必须符合承重及安全要求，砖体安装槽50元/m，若混凝土130元/m。</t>
  </si>
  <si>
    <t>混凝土楼板浇注</t>
  </si>
  <si>
    <t>C30</t>
  </si>
  <si>
    <t>1.钢筋双层双向间距150mm*150mm，通长底筋14mm，面筋12mm，副筋8mm，采用钢筋钩挂或焊接工艺，C30水泥标号680元/㎡；若单层双向钢筋间距200mm*200mm，底筋12mm，面筋10mm，副筋6mm，钢筋搭接工艺，C25水泥标号480元/㎡；2.现浇板面积+梁柱(按横截面周长×长度)计算面积(隐蔽部分计入面积)；3.与原墙体交接处平整，含钢筋、圆石、模板及人工费；浇注面抹灰、找平、防水等另计。</t>
  </si>
  <si>
    <t>混凝土楼梯浇注（宽度1m内，超出宽度单价按比例调增）</t>
  </si>
  <si>
    <t>1.钢筋双层双向间距150mm*150mm，底筋14mm，面筋12mm，副筋8mm，采用钢筋钩挂或焊接工艺，C30水泥标号980元/m；若单层双向钢筋间距200mm*200mm，底筋12mm，面筋10mm，副筋6mm，钢筋搭接工艺，C25水泥标号680元/m；2.与原墙体交接处平整，含钢筋、圆石、模板及人工费，隐藏部分计入宽度，长度按展开计算；3.浇注面抹灰、找平、防水等另计。</t>
  </si>
  <si>
    <t>混凝土植筋</t>
  </si>
  <si>
    <t>眼</t>
  </si>
  <si>
    <t>按照对应钢筋间距及层数计算，含打孔、钢筋及植筋胶。</t>
  </si>
  <si>
    <t>外脚手架</t>
  </si>
  <si>
    <t>钢管架</t>
  </si>
  <si>
    <t>含租赁、运转、搭建、拆除、退还等；按照延米计算，高度不超过1个住宅楼标准层高。</t>
  </si>
  <si>
    <t>变项直接费（元）：</t>
  </si>
  <si>
    <t>管  理  费（元）：</t>
  </si>
  <si>
    <t>计算式："变项直接费"×10%</t>
  </si>
  <si>
    <t>远  程  费（元）：</t>
  </si>
  <si>
    <t>计算式："变项直接费"×5%</t>
  </si>
  <si>
    <t>税      金（元）：</t>
  </si>
  <si>
    <t>计算式：("变项直接费"+"管理费"+"税金")×5.8%；按结算金额出具正式发票时收取</t>
  </si>
  <si>
    <t>工程预算造价（元）：</t>
  </si>
  <si>
    <t>计算式："变项直接费"+"管理费"+"远程费"+"税金"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</si>
</sst>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_ "/>
    <numFmt numFmtId="179" formatCode="0;_尀"/>
    <numFmt numFmtId="180" formatCode="0_ "/>
    <numFmt numFmtId="181" formatCode="0.00_);[Red]\(0.00\)"/>
  </numFmts>
  <fonts count="83">
    <font>
      <sz val="12"/>
      <name val="宋体"/>
      <charset val="1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6"/>
      <name val="新宋体"/>
      <charset val="134"/>
    </font>
    <font>
      <sz val="6"/>
      <name val="新宋体"/>
      <charset val="134"/>
    </font>
    <font>
      <sz val="8"/>
      <name val="新宋体"/>
      <charset val="134"/>
    </font>
    <font>
      <sz val="8"/>
      <color indexed="8"/>
      <name val="新宋体"/>
      <charset val="134"/>
    </font>
    <font>
      <sz val="8"/>
      <color indexed="8"/>
      <name val="宋体"/>
      <charset val="134"/>
    </font>
    <font>
      <sz val="10"/>
      <name val="新宋体"/>
      <charset val="134"/>
    </font>
    <font>
      <b/>
      <sz val="9"/>
      <name val="新宋体"/>
      <charset val="134"/>
    </font>
    <font>
      <b/>
      <sz val="10"/>
      <name val="新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10"/>
      <name val="新宋体"/>
      <charset val="134"/>
    </font>
    <font>
      <sz val="9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0"/>
      <name val="楷体_GB2312"/>
      <charset val="134"/>
    </font>
    <font>
      <sz val="4"/>
      <name val="宋体"/>
      <charset val="134"/>
    </font>
    <font>
      <sz val="6"/>
      <name val="宋体"/>
      <charset val="134"/>
    </font>
    <font>
      <sz val="12"/>
      <color indexed="8"/>
      <name val="仿宋_GB2312"/>
      <charset val="134"/>
    </font>
    <font>
      <sz val="9"/>
      <color indexed="8"/>
      <name val="宋体"/>
      <charset val="134"/>
    </font>
    <font>
      <b/>
      <sz val="16"/>
      <color indexed="8"/>
      <name val="新宋体"/>
      <charset val="134"/>
    </font>
    <font>
      <sz val="6"/>
      <color indexed="8"/>
      <name val="新宋体"/>
      <charset val="134"/>
    </font>
    <font>
      <b/>
      <sz val="12"/>
      <color indexed="8"/>
      <name val="新宋体"/>
      <charset val="134"/>
    </font>
    <font>
      <sz val="8"/>
      <color indexed="10"/>
      <name val="宋体"/>
      <charset val="134"/>
    </font>
    <font>
      <b/>
      <sz val="8"/>
      <color indexed="8"/>
      <name val="新宋体"/>
      <charset val="134"/>
    </font>
    <font>
      <sz val="8"/>
      <color indexed="10"/>
      <name val="新宋体"/>
      <charset val="134"/>
    </font>
    <font>
      <b/>
      <sz val="10"/>
      <color indexed="8"/>
      <name val="楷体_GB2312"/>
      <charset val="134"/>
    </font>
    <font>
      <b/>
      <sz val="10"/>
      <color indexed="8"/>
      <name val="宋体"/>
      <charset val="134"/>
    </font>
    <font>
      <b/>
      <sz val="9"/>
      <color indexed="8"/>
      <name val="新宋体"/>
      <charset val="134"/>
    </font>
    <font>
      <b/>
      <sz val="10"/>
      <color indexed="8"/>
      <name val="新宋体"/>
      <charset val="134"/>
    </font>
    <font>
      <sz val="10"/>
      <color indexed="8"/>
      <name val="Times New Roman"/>
      <charset val="134"/>
    </font>
    <font>
      <sz val="9"/>
      <color indexed="8"/>
      <name val="新宋体"/>
      <charset val="134"/>
    </font>
    <font>
      <sz val="9"/>
      <color indexed="10"/>
      <name val="新宋体"/>
      <charset val="134"/>
    </font>
    <font>
      <sz val="10"/>
      <color indexed="8"/>
      <name val="仿宋_GB2312"/>
      <charset val="134"/>
    </font>
    <font>
      <sz val="9"/>
      <color indexed="8"/>
      <name val="仿宋_GB2312"/>
      <charset val="134"/>
    </font>
    <font>
      <sz val="8"/>
      <name val="宋体"/>
      <charset val="134"/>
    </font>
    <font>
      <sz val="6"/>
      <color indexed="8"/>
      <name val="宋体"/>
      <charset val="134"/>
    </font>
    <font>
      <sz val="4"/>
      <color indexed="8"/>
      <name val="宋体"/>
      <charset val="134"/>
    </font>
    <font>
      <sz val="12"/>
      <color indexed="8"/>
      <name val="新宋体"/>
      <charset val="134"/>
    </font>
    <font>
      <sz val="8"/>
      <color indexed="10"/>
      <name val="仿宋_GB2312"/>
      <charset val="134"/>
    </font>
    <font>
      <sz val="9"/>
      <color indexed="8"/>
      <name val="Times New Roman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6"/>
      <name val="汉真广标"/>
      <charset val="134"/>
    </font>
    <font>
      <b/>
      <sz val="16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b/>
      <sz val="36"/>
      <name val="宋体"/>
      <charset val="134"/>
    </font>
    <font>
      <sz val="36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5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59" fillId="0" borderId="0" applyFont="0" applyFill="0" applyBorder="0" applyAlignment="0" applyProtection="0">
      <alignment vertical="center"/>
    </xf>
    <xf numFmtId="0" fontId="60" fillId="0" borderId="0"/>
    <xf numFmtId="0" fontId="61" fillId="7" borderId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25" applyNumberFormat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60" fillId="0" borderId="0"/>
    <xf numFmtId="41" fontId="59" fillId="0" borderId="0" applyFont="0" applyFill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67" fillId="0" borderId="0"/>
    <xf numFmtId="0" fontId="59" fillId="13" borderId="26" applyNumberFormat="0" applyFont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15" borderId="0">
      <alignment vertical="center"/>
    </xf>
    <xf numFmtId="0" fontId="71" fillId="5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75" fillId="18" borderId="29" applyNumberFormat="0" applyAlignment="0" applyProtection="0">
      <alignment vertical="center"/>
    </xf>
    <xf numFmtId="0" fontId="71" fillId="19" borderId="0">
      <alignment vertical="center"/>
    </xf>
    <xf numFmtId="0" fontId="76" fillId="18" borderId="25" applyNumberFormat="0" applyAlignment="0" applyProtection="0">
      <alignment vertical="center"/>
    </xf>
    <xf numFmtId="0" fontId="77" fillId="20" borderId="30" applyNumberFormat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1" fillId="23" borderId="0">
      <alignment vertical="center"/>
    </xf>
    <xf numFmtId="0" fontId="80" fillId="24" borderId="0" applyNumberFormat="0" applyBorder="0" applyAlignment="0" applyProtection="0">
      <alignment vertical="center"/>
    </xf>
    <xf numFmtId="0" fontId="61" fillId="25" borderId="0">
      <alignment vertical="center"/>
    </xf>
    <xf numFmtId="0" fontId="8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0" fillId="0" borderId="0"/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0" fillId="0" borderId="0"/>
    <xf numFmtId="0" fontId="65" fillId="42" borderId="0" applyNumberFormat="0" applyBorder="0" applyAlignment="0" applyProtection="0">
      <alignment vertical="center"/>
    </xf>
    <xf numFmtId="0" fontId="60" fillId="0" borderId="0"/>
    <xf numFmtId="0" fontId="82" fillId="0" borderId="0"/>
  </cellStyleXfs>
  <cellXfs count="445">
    <xf numFmtId="0" fontId="0" fillId="0" borderId="0" xfId="0"/>
    <xf numFmtId="0" fontId="1" fillId="0" borderId="0" xfId="43" applyFont="1" applyFill="1" applyBorder="1" applyAlignment="1">
      <alignment vertical="center" wrapText="1" shrinkToFit="1"/>
    </xf>
    <xf numFmtId="0" fontId="2" fillId="0" borderId="0" xfId="43" applyFont="1" applyFill="1" applyBorder="1"/>
    <xf numFmtId="0" fontId="3" fillId="0" borderId="0" xfId="0" applyFont="1" applyFill="1" applyBorder="1"/>
    <xf numFmtId="0" fontId="0" fillId="0" borderId="0" xfId="43" applyFont="1" applyFill="1" applyBorder="1" applyAlignment="1">
      <alignment vertical="center" wrapText="1" shrinkToFit="1"/>
    </xf>
    <xf numFmtId="0" fontId="4" fillId="0" borderId="1" xfId="43" applyFont="1" applyFill="1" applyBorder="1" applyAlignment="1"/>
    <xf numFmtId="22" fontId="5" fillId="0" borderId="1" xfId="43" applyNumberFormat="1" applyFont="1" applyFill="1" applyBorder="1" applyAlignment="1">
      <alignment horizontal="center"/>
    </xf>
    <xf numFmtId="1" fontId="1" fillId="0" borderId="2" xfId="43" applyNumberFormat="1" applyFont="1" applyFill="1" applyBorder="1" applyAlignment="1">
      <alignment horizontal="center" vertical="center" wrapText="1" shrinkToFit="1"/>
    </xf>
    <xf numFmtId="0" fontId="6" fillId="0" borderId="3" xfId="43" applyFont="1" applyFill="1" applyBorder="1" applyAlignment="1">
      <alignment horizontal="center" vertical="center" wrapText="1" shrinkToFit="1"/>
    </xf>
    <xf numFmtId="176" fontId="1" fillId="0" borderId="3" xfId="4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vertical="center" shrinkToFit="1"/>
    </xf>
    <xf numFmtId="0" fontId="1" fillId="0" borderId="3" xfId="43" applyFont="1" applyFill="1" applyBorder="1" applyAlignment="1">
      <alignment horizontal="center" vertical="center"/>
    </xf>
    <xf numFmtId="1" fontId="1" fillId="0" borderId="4" xfId="43" applyNumberFormat="1" applyFont="1" applyFill="1" applyBorder="1" applyAlignment="1">
      <alignment horizontal="center" vertical="center" wrapText="1" shrinkToFit="1"/>
    </xf>
    <xf numFmtId="0" fontId="6" fillId="0" borderId="5" xfId="43" applyFont="1" applyFill="1" applyBorder="1" applyAlignment="1">
      <alignment horizontal="center" vertical="center" wrapText="1" shrinkToFit="1"/>
    </xf>
    <xf numFmtId="0" fontId="1" fillId="0" borderId="5" xfId="43" applyNumberFormat="1" applyFont="1" applyFill="1" applyBorder="1" applyAlignment="1">
      <alignment horizontal="center" vertical="center"/>
    </xf>
    <xf numFmtId="176" fontId="1" fillId="0" borderId="5" xfId="43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1" fontId="1" fillId="0" borderId="6" xfId="43" applyNumberFormat="1" applyFont="1" applyFill="1" applyBorder="1" applyAlignment="1">
      <alignment horizontal="center" vertical="center" wrapText="1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1" fillId="0" borderId="7" xfId="43" applyNumberFormat="1" applyFont="1" applyFill="1" applyBorder="1" applyAlignment="1">
      <alignment vertical="center" shrinkToFit="1"/>
    </xf>
    <xf numFmtId="176" fontId="1" fillId="0" borderId="7" xfId="43" applyNumberFormat="1" applyFont="1" applyFill="1" applyBorder="1" applyAlignment="1">
      <alignment horizontal="center" vertical="center"/>
    </xf>
    <xf numFmtId="0" fontId="1" fillId="0" borderId="7" xfId="43" applyFont="1" applyFill="1" applyBorder="1" applyAlignment="1">
      <alignment horizontal="center" vertical="center"/>
    </xf>
    <xf numFmtId="1" fontId="2" fillId="0" borderId="0" xfId="43" applyNumberFormat="1" applyFont="1" applyFill="1" applyBorder="1"/>
    <xf numFmtId="0" fontId="9" fillId="0" borderId="0" xfId="43" applyFont="1" applyFill="1" applyBorder="1"/>
    <xf numFmtId="0" fontId="2" fillId="0" borderId="0" xfId="43" applyFont="1" applyFill="1" applyBorder="1" applyAlignment="1">
      <alignment horizontal="center" vertical="center"/>
    </xf>
    <xf numFmtId="0" fontId="2" fillId="2" borderId="0" xfId="43" applyFont="1" applyFill="1" applyBorder="1" applyAlignment="1">
      <alignment horizontal="center"/>
    </xf>
    <xf numFmtId="0" fontId="9" fillId="0" borderId="0" xfId="43" applyFont="1" applyFill="1" applyBorder="1" applyAlignment="1">
      <alignment horizontal="center"/>
    </xf>
    <xf numFmtId="0" fontId="9" fillId="3" borderId="0" xfId="43" applyFont="1" applyFill="1" applyBorder="1" applyAlignment="1">
      <alignment horizontal="center"/>
    </xf>
    <xf numFmtId="176" fontId="2" fillId="0" borderId="0" xfId="43" applyNumberFormat="1" applyFont="1" applyFill="1" applyBorder="1"/>
    <xf numFmtId="176" fontId="2" fillId="0" borderId="0" xfId="43" applyNumberFormat="1" applyFont="1" applyFill="1" applyBorder="1" applyAlignment="1">
      <alignment horizontal="center"/>
    </xf>
    <xf numFmtId="1" fontId="10" fillId="0" borderId="2" xfId="43" applyNumberFormat="1" applyFont="1" applyFill="1" applyBorder="1" applyAlignment="1">
      <alignment horizontal="center" vertical="center" wrapText="1"/>
    </xf>
    <xf numFmtId="0" fontId="11" fillId="0" borderId="3" xfId="43" applyFont="1" applyFill="1" applyBorder="1" applyAlignment="1">
      <alignment horizontal="center" vertical="center" wrapText="1"/>
    </xf>
    <xf numFmtId="0" fontId="12" fillId="0" borderId="3" xfId="43" applyFont="1" applyFill="1" applyBorder="1" applyAlignment="1">
      <alignment horizontal="center" vertical="center" wrapText="1"/>
    </xf>
    <xf numFmtId="0" fontId="11" fillId="2" borderId="3" xfId="43" applyFont="1" applyFill="1" applyBorder="1" applyAlignment="1">
      <alignment horizontal="center" vertical="center" wrapText="1"/>
    </xf>
    <xf numFmtId="176" fontId="11" fillId="0" borderId="3" xfId="43" applyNumberFormat="1" applyFont="1" applyFill="1" applyBorder="1" applyAlignment="1">
      <alignment horizontal="center" vertical="center" wrapText="1"/>
    </xf>
    <xf numFmtId="1" fontId="9" fillId="0" borderId="4" xfId="43" applyNumberFormat="1" applyFont="1" applyFill="1" applyBorder="1" applyAlignment="1">
      <alignment horizontal="center" vertical="center" wrapText="1"/>
    </xf>
    <xf numFmtId="0" fontId="9" fillId="0" borderId="5" xfId="43" applyFont="1" applyFill="1" applyBorder="1" applyAlignment="1">
      <alignment horizontal="justify" vertical="center" wrapText="1"/>
    </xf>
    <xf numFmtId="0" fontId="2" fillId="0" borderId="5" xfId="43" applyFont="1" applyFill="1" applyBorder="1" applyAlignment="1">
      <alignment horizontal="center" vertical="center" shrinkToFit="1"/>
    </xf>
    <xf numFmtId="0" fontId="13" fillId="4" borderId="8" xfId="43" applyFont="1" applyFill="1" applyBorder="1" applyAlignment="1">
      <alignment horizontal="center" vertical="center" wrapText="1"/>
    </xf>
    <xf numFmtId="0" fontId="9" fillId="0" borderId="8" xfId="43" applyFont="1" applyFill="1" applyBorder="1" applyAlignment="1">
      <alignment horizontal="center" vertical="center" wrapText="1"/>
    </xf>
    <xf numFmtId="0" fontId="14" fillId="0" borderId="5" xfId="43" applyFont="1" applyFill="1" applyBorder="1" applyAlignment="1">
      <alignment horizontal="center" vertical="center" shrinkToFit="1"/>
    </xf>
    <xf numFmtId="176" fontId="9" fillId="0" borderId="5" xfId="43" applyNumberFormat="1" applyFont="1" applyFill="1" applyBorder="1" applyAlignment="1">
      <alignment vertical="center" shrinkToFit="1"/>
    </xf>
    <xf numFmtId="176" fontId="9" fillId="0" borderId="5" xfId="7" applyNumberFormat="1" applyFont="1" applyFill="1" applyBorder="1" applyAlignment="1">
      <alignment horizontal="center" vertical="center" shrinkToFit="1"/>
    </xf>
    <xf numFmtId="0" fontId="9" fillId="0" borderId="9" xfId="43" applyFont="1" applyFill="1" applyBorder="1" applyAlignment="1">
      <alignment horizontal="justify" vertical="center" wrapText="1"/>
    </xf>
    <xf numFmtId="176" fontId="9" fillId="4" borderId="5" xfId="43" applyNumberFormat="1" applyFont="1" applyFill="1" applyBorder="1" applyAlignment="1">
      <alignment horizontal="center" vertical="center" wrapText="1"/>
    </xf>
    <xf numFmtId="0" fontId="15" fillId="0" borderId="5" xfId="43" applyFont="1" applyFill="1" applyBorder="1" applyAlignment="1">
      <alignment horizontal="center" vertical="center" wrapText="1"/>
    </xf>
    <xf numFmtId="0" fontId="15" fillId="3" borderId="5" xfId="43" applyFont="1" applyFill="1" applyBorder="1" applyAlignment="1">
      <alignment horizontal="center" vertical="center" shrinkToFit="1"/>
    </xf>
    <xf numFmtId="0" fontId="2" fillId="0" borderId="5" xfId="43" applyFont="1" applyFill="1" applyBorder="1" applyAlignment="1">
      <alignment vertical="center" shrinkToFit="1"/>
    </xf>
    <xf numFmtId="0" fontId="9" fillId="2" borderId="5" xfId="7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shrinkToFit="1"/>
    </xf>
    <xf numFmtId="0" fontId="9" fillId="2" borderId="5" xfId="43" applyFont="1" applyFill="1" applyBorder="1" applyAlignment="1">
      <alignment horizontal="center" vertical="center" wrapText="1"/>
    </xf>
    <xf numFmtId="176" fontId="9" fillId="0" borderId="5" xfId="43" applyNumberFormat="1" applyFont="1" applyFill="1" applyBorder="1" applyAlignment="1">
      <alignment horizontal="center" vertical="center" shrinkToFit="1"/>
    </xf>
    <xf numFmtId="0" fontId="9" fillId="0" borderId="5" xfId="43" applyFont="1" applyFill="1" applyBorder="1" applyAlignment="1">
      <alignment horizontal="center" vertical="center" wrapText="1"/>
    </xf>
    <xf numFmtId="176" fontId="9" fillId="0" borderId="5" xfId="43" applyNumberFormat="1" applyFont="1" applyFill="1" applyBorder="1" applyAlignment="1">
      <alignment horizontal="center" vertical="center" wrapText="1"/>
    </xf>
    <xf numFmtId="176" fontId="15" fillId="0" borderId="5" xfId="43" applyNumberFormat="1" applyFont="1" applyFill="1" applyBorder="1" applyAlignment="1">
      <alignment horizontal="center" vertical="center" wrapText="1"/>
    </xf>
    <xf numFmtId="0" fontId="9" fillId="0" borderId="5" xfId="43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shrinkToFit="1"/>
    </xf>
    <xf numFmtId="176" fontId="16" fillId="0" borderId="5" xfId="0" applyNumberFormat="1" applyFont="1" applyFill="1" applyBorder="1" applyAlignment="1">
      <alignment vertical="center" shrinkToFi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5" fillId="0" borderId="5" xfId="43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20" fillId="0" borderId="4" xfId="43" applyFont="1" applyFill="1" applyBorder="1" applyAlignment="1">
      <alignment horizontal="center" vertical="center" wrapText="1" shrinkToFit="1"/>
    </xf>
    <xf numFmtId="0" fontId="20" fillId="0" borderId="5" xfId="43" applyFont="1" applyFill="1" applyBorder="1" applyAlignment="1">
      <alignment vertical="center" wrapText="1" shrinkToFit="1"/>
    </xf>
    <xf numFmtId="0" fontId="20" fillId="0" borderId="5" xfId="43" applyFont="1" applyFill="1" applyBorder="1" applyAlignment="1">
      <alignment horizontal="center" vertical="center" wrapText="1" shrinkToFit="1"/>
    </xf>
    <xf numFmtId="0" fontId="20" fillId="2" borderId="5" xfId="43" applyFont="1" applyFill="1" applyBorder="1" applyAlignment="1">
      <alignment horizontal="right" vertical="center" wrapText="1" shrinkToFit="1"/>
    </xf>
    <xf numFmtId="0" fontId="20" fillId="0" borderId="5" xfId="43" applyFont="1" applyFill="1" applyBorder="1" applyAlignment="1">
      <alignment horizontal="right" vertical="center" wrapText="1" shrinkToFit="1"/>
    </xf>
    <xf numFmtId="0" fontId="20" fillId="0" borderId="5" xfId="43" applyFont="1" applyFill="1" applyBorder="1" applyAlignment="1">
      <alignment horizontal="right" vertical="center"/>
    </xf>
    <xf numFmtId="177" fontId="9" fillId="0" borderId="5" xfId="43" applyNumberFormat="1" applyFont="1" applyFill="1" applyBorder="1" applyAlignment="1">
      <alignment vertical="center" shrinkToFit="1"/>
    </xf>
    <xf numFmtId="177" fontId="14" fillId="0" borderId="5" xfId="43" applyNumberFormat="1" applyFont="1" applyFill="1" applyBorder="1" applyAlignment="1">
      <alignment vertical="center" shrinkToFit="1"/>
    </xf>
    <xf numFmtId="0" fontId="20" fillId="0" borderId="6" xfId="43" applyFont="1" applyFill="1" applyBorder="1" applyAlignment="1">
      <alignment horizontal="center" vertical="center" wrapText="1" shrinkToFit="1"/>
    </xf>
    <xf numFmtId="0" fontId="20" fillId="0" borderId="7" xfId="43" applyFont="1" applyFill="1" applyBorder="1" applyAlignment="1">
      <alignment vertical="center" wrapText="1" shrinkToFit="1"/>
    </xf>
    <xf numFmtId="0" fontId="20" fillId="0" borderId="7" xfId="43" applyFont="1" applyFill="1" applyBorder="1" applyAlignment="1">
      <alignment horizontal="center" vertical="center" wrapText="1" shrinkToFit="1"/>
    </xf>
    <xf numFmtId="0" fontId="20" fillId="2" borderId="7" xfId="43" applyFont="1" applyFill="1" applyBorder="1" applyAlignment="1">
      <alignment horizontal="right" vertical="center" wrapText="1" shrinkToFit="1"/>
    </xf>
    <xf numFmtId="0" fontId="20" fillId="0" borderId="7" xfId="43" applyFont="1" applyFill="1" applyBorder="1" applyAlignment="1">
      <alignment horizontal="right" vertical="center" wrapText="1" shrinkToFit="1"/>
    </xf>
    <xf numFmtId="0" fontId="20" fillId="0" borderId="7" xfId="43" applyFont="1" applyFill="1" applyBorder="1" applyAlignment="1">
      <alignment horizontal="right" vertical="center"/>
    </xf>
    <xf numFmtId="177" fontId="9" fillId="0" borderId="7" xfId="43" applyNumberFormat="1" applyFont="1" applyFill="1" applyBorder="1" applyAlignment="1">
      <alignment vertical="center" shrinkToFit="1"/>
    </xf>
    <xf numFmtId="0" fontId="11" fillId="0" borderId="0" xfId="43" applyFont="1" applyFill="1" applyBorder="1" applyAlignment="1">
      <alignment horizontal="left"/>
    </xf>
    <xf numFmtId="0" fontId="2" fillId="2" borderId="0" xfId="43" applyFont="1" applyFill="1" applyBorder="1"/>
    <xf numFmtId="0" fontId="1" fillId="0" borderId="11" xfId="43" applyFont="1" applyFill="1" applyBorder="1" applyAlignment="1">
      <alignment vertical="center" wrapText="1" shrinkToFit="1"/>
    </xf>
    <xf numFmtId="0" fontId="1" fillId="0" borderId="10" xfId="43" applyFont="1" applyFill="1" applyBorder="1" applyAlignment="1">
      <alignment vertical="center" wrapText="1" shrinkToFit="1"/>
    </xf>
    <xf numFmtId="0" fontId="1" fillId="0" borderId="12" xfId="43" applyFont="1" applyFill="1" applyBorder="1" applyAlignment="1">
      <alignment vertical="center" wrapText="1" shrinkToFit="1"/>
    </xf>
    <xf numFmtId="0" fontId="11" fillId="0" borderId="11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justify" vertical="center" wrapText="1"/>
    </xf>
    <xf numFmtId="0" fontId="15" fillId="0" borderId="10" xfId="7" applyFont="1" applyFill="1" applyBorder="1" applyAlignment="1">
      <alignment horizontal="justify" vertical="center" wrapText="1"/>
    </xf>
    <xf numFmtId="0" fontId="15" fillId="0" borderId="10" xfId="43" applyFont="1" applyFill="1" applyBorder="1" applyAlignment="1">
      <alignment vertical="center" shrinkToFit="1"/>
    </xf>
    <xf numFmtId="0" fontId="15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justify" vertical="center" wrapText="1"/>
    </xf>
    <xf numFmtId="176" fontId="15" fillId="0" borderId="10" xfId="43" applyNumberFormat="1" applyFont="1" applyFill="1" applyBorder="1" applyAlignment="1">
      <alignment horizontal="justify" vertical="center" wrapText="1" shrinkToFit="1"/>
    </xf>
    <xf numFmtId="0" fontId="15" fillId="0" borderId="10" xfId="43" applyFont="1" applyFill="1" applyBorder="1" applyAlignment="1">
      <alignment horizontal="justify" vertical="center" wrapText="1" shrinkToFit="1"/>
    </xf>
    <xf numFmtId="0" fontId="15" fillId="0" borderId="12" xfId="43" applyFont="1" applyFill="1" applyBorder="1" applyAlignment="1">
      <alignment horizontal="justify" vertical="center" wrapText="1" shrinkToFit="1"/>
    </xf>
    <xf numFmtId="0" fontId="11" fillId="0" borderId="0" xfId="43" applyFont="1" applyFill="1" applyBorder="1"/>
    <xf numFmtId="0" fontId="0" fillId="0" borderId="0" xfId="43" applyFont="1" applyFill="1" applyBorder="1"/>
    <xf numFmtId="0" fontId="21" fillId="0" borderId="0" xfId="43" applyFont="1" applyFill="1" applyBorder="1" applyAlignment="1">
      <alignment wrapText="1"/>
    </xf>
    <xf numFmtId="0" fontId="22" fillId="0" borderId="0" xfId="43" applyFont="1" applyFill="1" applyBorder="1" applyAlignment="1">
      <alignment wrapText="1"/>
    </xf>
    <xf numFmtId="0" fontId="21" fillId="0" borderId="0" xfId="43" applyFont="1" applyFill="1" applyBorder="1"/>
    <xf numFmtId="0" fontId="3" fillId="0" borderId="0" xfId="43" applyFont="1" applyFill="1" applyBorder="1"/>
    <xf numFmtId="0" fontId="8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/>
    <xf numFmtId="0" fontId="3" fillId="0" borderId="0" xfId="2" applyFont="1" applyFill="1" applyBorder="1"/>
    <xf numFmtId="0" fontId="0" fillId="0" borderId="0" xfId="43" applyFont="1" applyFill="1"/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43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3" borderId="0" xfId="0" applyFont="1" applyFill="1" applyBorder="1" applyAlignment="1">
      <alignment vertical="center"/>
    </xf>
    <xf numFmtId="0" fontId="0" fillId="0" borderId="0" xfId="0" applyFont="1" applyFill="1" applyBorder="1"/>
    <xf numFmtId="0" fontId="24" fillId="0" borderId="0" xfId="43" applyFont="1" applyFill="1" applyBorder="1" applyAlignment="1">
      <alignment shrinkToFit="1"/>
    </xf>
    <xf numFmtId="0" fontId="25" fillId="0" borderId="1" xfId="43" applyFont="1" applyFill="1" applyBorder="1" applyAlignment="1"/>
    <xf numFmtId="22" fontId="26" fillId="0" borderId="1" xfId="43" applyNumberFormat="1" applyFont="1" applyFill="1" applyBorder="1" applyAlignment="1">
      <alignment horizontal="center"/>
    </xf>
    <xf numFmtId="0" fontId="27" fillId="0" borderId="1" xfId="43" applyFont="1" applyFill="1" applyBorder="1" applyAlignment="1"/>
    <xf numFmtId="1" fontId="8" fillId="0" borderId="2" xfId="0" applyNumberFormat="1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 shrinkToFit="1"/>
    </xf>
    <xf numFmtId="0" fontId="29" fillId="2" borderId="3" xfId="0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1" fontId="8" fillId="0" borderId="4" xfId="0" applyNumberFormat="1" applyFont="1" applyFill="1" applyBorder="1" applyAlignment="1">
      <alignment horizontal="center" vertical="center" wrapText="1" shrinkToFit="1"/>
    </xf>
    <xf numFmtId="0" fontId="30" fillId="0" borderId="5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28" fillId="0" borderId="5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 wrapText="1" shrinkToFit="1"/>
    </xf>
    <xf numFmtId="49" fontId="30" fillId="0" borderId="7" xfId="0" applyNumberFormat="1" applyFont="1" applyFill="1" applyBorder="1" applyAlignment="1">
      <alignment vertical="center" shrinkToFit="1"/>
    </xf>
    <xf numFmtId="0" fontId="8" fillId="2" borderId="7" xfId="0" applyFont="1" applyFill="1" applyBorder="1" applyAlignment="1">
      <alignment horizontal="center" vertical="center" wrapText="1" shrinkToFit="1"/>
    </xf>
    <xf numFmtId="176" fontId="28" fillId="0" borderId="7" xfId="0" applyNumberFormat="1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wrapText="1" shrinkToFit="1"/>
    </xf>
    <xf numFmtId="1" fontId="17" fillId="0" borderId="0" xfId="0" applyNumberFormat="1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shrinkToFit="1"/>
    </xf>
    <xf numFmtId="176" fontId="17" fillId="0" borderId="0" xfId="0" applyNumberFormat="1" applyFont="1" applyFill="1" applyBorder="1" applyAlignment="1">
      <alignment vertical="center" shrinkToFit="1"/>
    </xf>
    <xf numFmtId="176" fontId="17" fillId="0" borderId="0" xfId="0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shrinkToFit="1"/>
    </xf>
    <xf numFmtId="0" fontId="31" fillId="2" borderId="3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vertical="center" shrinkToFit="1"/>
    </xf>
    <xf numFmtId="1" fontId="33" fillId="0" borderId="4" xfId="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shrinkToFit="1"/>
    </xf>
    <xf numFmtId="0" fontId="34" fillId="2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shrinkToFit="1"/>
    </xf>
    <xf numFmtId="176" fontId="34" fillId="0" borderId="5" xfId="0" applyNumberFormat="1" applyFont="1" applyFill="1" applyBorder="1" applyAlignment="1">
      <alignment vertical="center" shrinkToFit="1"/>
    </xf>
    <xf numFmtId="176" fontId="34" fillId="0" borderId="5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178" fontId="35" fillId="4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shrinkToFit="1"/>
    </xf>
    <xf numFmtId="176" fontId="36" fillId="0" borderId="5" xfId="0" applyNumberFormat="1" applyFont="1" applyFill="1" applyBorder="1" applyAlignment="1">
      <alignment horizontal="center" vertical="center" wrapText="1"/>
    </xf>
    <xf numFmtId="0" fontId="35" fillId="4" borderId="5" xfId="0" applyNumberFormat="1" applyFont="1" applyFill="1" applyBorder="1" applyAlignment="1">
      <alignment horizontal="center" vertical="center" wrapText="1"/>
    </xf>
    <xf numFmtId="179" fontId="35" fillId="4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176" fontId="16" fillId="4" borderId="5" xfId="0" applyNumberFormat="1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176" fontId="37" fillId="0" borderId="5" xfId="0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shrinkToFit="1"/>
    </xf>
    <xf numFmtId="176" fontId="14" fillId="0" borderId="5" xfId="0" applyNumberFormat="1" applyFont="1" applyFill="1" applyBorder="1" applyAlignment="1">
      <alignment vertical="center" shrinkToFit="1"/>
    </xf>
    <xf numFmtId="0" fontId="35" fillId="2" borderId="5" xfId="0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justify" vertical="center" wrapText="1"/>
    </xf>
    <xf numFmtId="0" fontId="35" fillId="2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176" fontId="16" fillId="0" borderId="5" xfId="2" applyNumberFormat="1" applyFont="1" applyFill="1" applyBorder="1" applyAlignment="1">
      <alignment horizontal="center" vertical="center" wrapText="1"/>
    </xf>
    <xf numFmtId="176" fontId="36" fillId="0" borderId="5" xfId="2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justify" vertical="center" wrapText="1"/>
    </xf>
    <xf numFmtId="180" fontId="35" fillId="4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shrinkToFit="1"/>
    </xf>
    <xf numFmtId="176" fontId="7" fillId="0" borderId="5" xfId="43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0" fontId="16" fillId="0" borderId="5" xfId="43" applyFont="1" applyFill="1" applyBorder="1" applyAlignment="1">
      <alignment vertical="center" shrinkToFit="1"/>
    </xf>
    <xf numFmtId="0" fontId="16" fillId="2" borderId="5" xfId="43" applyFont="1" applyFill="1" applyBorder="1" applyAlignment="1">
      <alignment horizontal="center" vertical="center" wrapText="1"/>
    </xf>
    <xf numFmtId="0" fontId="16" fillId="0" borderId="5" xfId="43" applyFont="1" applyFill="1" applyBorder="1" applyAlignment="1">
      <alignment horizontal="center" vertical="center" wrapText="1"/>
    </xf>
    <xf numFmtId="176" fontId="16" fillId="0" borderId="5" xfId="43" applyNumberFormat="1" applyFont="1" applyFill="1" applyBorder="1" applyAlignment="1">
      <alignment vertical="center" shrinkToFit="1"/>
    </xf>
    <xf numFmtId="0" fontId="16" fillId="0" borderId="5" xfId="43" applyFont="1" applyFill="1" applyBorder="1" applyAlignment="1">
      <alignment horizontal="justify" vertical="center" wrapText="1"/>
    </xf>
    <xf numFmtId="0" fontId="35" fillId="2" borderId="5" xfId="43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4" fillId="0" borderId="5" xfId="43" applyFont="1" applyFill="1" applyBorder="1" applyAlignment="1">
      <alignment horizontal="justify" vertical="center" wrapText="1"/>
    </xf>
    <xf numFmtId="0" fontId="36" fillId="0" borderId="5" xfId="0" applyFont="1" applyFill="1" applyBorder="1" applyAlignment="1">
      <alignment horizontal="justify" vertical="center" wrapText="1"/>
    </xf>
    <xf numFmtId="177" fontId="37" fillId="0" borderId="5" xfId="0" applyNumberFormat="1" applyFont="1" applyFill="1" applyBorder="1" applyAlignment="1">
      <alignment horizontal="center" vertical="center" wrapText="1"/>
    </xf>
    <xf numFmtId="0" fontId="16" fillId="0" borderId="5" xfId="7" applyFont="1" applyFill="1" applyBorder="1" applyAlignment="1">
      <alignment horizontal="justify" vertical="center" wrapText="1"/>
    </xf>
    <xf numFmtId="0" fontId="16" fillId="2" borderId="5" xfId="7" applyFont="1" applyFill="1" applyBorder="1" applyAlignment="1">
      <alignment horizontal="center" vertical="center" wrapText="1"/>
    </xf>
    <xf numFmtId="0" fontId="16" fillId="0" borderId="5" xfId="7" applyFont="1" applyFill="1" applyBorder="1" applyAlignment="1">
      <alignment horizontal="center" vertical="center" wrapText="1"/>
    </xf>
    <xf numFmtId="176" fontId="38" fillId="0" borderId="5" xfId="0" applyNumberFormat="1" applyFont="1" applyFill="1" applyBorder="1" applyAlignment="1">
      <alignment vertical="center" shrinkToFit="1"/>
    </xf>
    <xf numFmtId="0" fontId="38" fillId="2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shrinkToFit="1"/>
    </xf>
    <xf numFmtId="176" fontId="39" fillId="0" borderId="5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35" fillId="4" borderId="5" xfId="43" applyFont="1" applyFill="1" applyBorder="1" applyAlignment="1">
      <alignment horizontal="center" vertical="center" wrapText="1"/>
    </xf>
    <xf numFmtId="0" fontId="16" fillId="0" borderId="5" xfId="43" applyNumberFormat="1" applyFont="1" applyFill="1" applyBorder="1" applyAlignment="1">
      <alignment horizontal="center" vertical="center" wrapText="1"/>
    </xf>
    <xf numFmtId="176" fontId="7" fillId="0" borderId="5" xfId="43" applyNumberFormat="1" applyFont="1" applyFill="1" applyBorder="1" applyAlignment="1">
      <alignment horizontal="center" vertical="center" wrapText="1" shrinkToFit="1"/>
    </xf>
    <xf numFmtId="0" fontId="40" fillId="0" borderId="13" xfId="0" applyFont="1" applyFill="1" applyBorder="1" applyAlignment="1">
      <alignment vertical="center" wrapText="1" shrinkToFit="1"/>
    </xf>
    <xf numFmtId="0" fontId="4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40" fillId="0" borderId="14" xfId="0" applyFont="1" applyFill="1" applyBorder="1" applyAlignment="1">
      <alignment vertical="center" wrapText="1" shrinkToFit="1"/>
    </xf>
    <xf numFmtId="0" fontId="40" fillId="0" borderId="15" xfId="0" applyFont="1" applyFill="1" applyBorder="1" applyAlignment="1">
      <alignment vertical="center" wrapText="1" shrinkToFit="1"/>
    </xf>
    <xf numFmtId="0" fontId="9" fillId="0" borderId="0" xfId="0" applyFont="1" applyFill="1" applyBorder="1"/>
    <xf numFmtId="0" fontId="20" fillId="0" borderId="1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0" xfId="0" applyFont="1" applyFill="1" applyBorder="1" applyAlignment="1">
      <alignment vertical="center" shrinkToFit="1"/>
    </xf>
    <xf numFmtId="0" fontId="37" fillId="0" borderId="10" xfId="0" applyFont="1" applyFill="1" applyBorder="1" applyAlignment="1">
      <alignment horizontal="justify" vertical="center" wrapText="1"/>
    </xf>
    <xf numFmtId="0" fontId="15" fillId="0" borderId="10" xfId="43" applyFont="1" applyFill="1" applyBorder="1" applyAlignment="1">
      <alignment horizontal="left" vertical="center" shrinkToFit="1"/>
    </xf>
    <xf numFmtId="0" fontId="41" fillId="0" borderId="0" xfId="43" applyFont="1" applyFill="1" applyBorder="1"/>
    <xf numFmtId="0" fontId="15" fillId="0" borderId="10" xfId="0" applyFont="1" applyFill="1" applyBorder="1" applyAlignment="1">
      <alignment vertical="center" wrapText="1" shrinkToFit="1"/>
    </xf>
    <xf numFmtId="0" fontId="22" fillId="0" borderId="0" xfId="43" applyFont="1" applyFill="1" applyBorder="1"/>
    <xf numFmtId="0" fontId="42" fillId="0" borderId="0" xfId="43" applyFont="1" applyFill="1" applyBorder="1" applyAlignment="1">
      <alignment wrapText="1"/>
    </xf>
    <xf numFmtId="0" fontId="41" fillId="0" borderId="0" xfId="43" applyFont="1" applyFill="1" applyBorder="1" applyAlignment="1">
      <alignment wrapText="1"/>
    </xf>
    <xf numFmtId="0" fontId="21" fillId="0" borderId="0" xfId="43" applyFont="1" applyFill="1" applyBorder="1" applyAlignment="1">
      <alignment horizontal="center"/>
    </xf>
    <xf numFmtId="0" fontId="42" fillId="0" borderId="0" xfId="43" applyFont="1" applyFill="1" applyBorder="1"/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vertical="center" wrapText="1" shrinkToFit="1"/>
    </xf>
    <xf numFmtId="0" fontId="17" fillId="2" borderId="5" xfId="0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 shrinkToFit="1"/>
    </xf>
    <xf numFmtId="181" fontId="7" fillId="0" borderId="5" xfId="43" applyNumberFormat="1" applyFont="1" applyFill="1" applyBorder="1" applyAlignment="1">
      <alignment horizontal="center" vertical="center" wrapText="1"/>
    </xf>
    <xf numFmtId="176" fontId="7" fillId="0" borderId="5" xfId="43" applyNumberFormat="1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 shrinkToFit="1"/>
    </xf>
    <xf numFmtId="176" fontId="7" fillId="0" borderId="8" xfId="0" applyNumberFormat="1" applyFont="1" applyFill="1" applyBorder="1" applyAlignment="1">
      <alignment horizontal="center" vertical="center" wrapText="1" shrinkToFit="1"/>
    </xf>
    <xf numFmtId="176" fontId="7" fillId="0" borderId="16" xfId="0" applyNumberFormat="1" applyFont="1" applyFill="1" applyBorder="1" applyAlignment="1">
      <alignment horizontal="center" vertical="center" wrapText="1" shrinkToFit="1"/>
    </xf>
    <xf numFmtId="176" fontId="26" fillId="0" borderId="5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shrinkToFit="1"/>
    </xf>
    <xf numFmtId="176" fontId="16" fillId="0" borderId="5" xfId="0" applyNumberFormat="1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vertical="center" shrinkToFit="1"/>
    </xf>
    <xf numFmtId="0" fontId="16" fillId="0" borderId="5" xfId="0" applyFont="1" applyFill="1" applyBorder="1" applyAlignment="1">
      <alignment horizontal="left" vertical="center" wrapText="1"/>
    </xf>
    <xf numFmtId="177" fontId="37" fillId="0" borderId="8" xfId="0" applyNumberFormat="1" applyFont="1" applyFill="1" applyBorder="1" applyAlignment="1">
      <alignment horizontal="center" vertical="center" wrapText="1"/>
    </xf>
    <xf numFmtId="177" fontId="37" fillId="0" borderId="17" xfId="0" applyNumberFormat="1" applyFont="1" applyFill="1" applyBorder="1" applyAlignment="1">
      <alignment horizontal="center" vertical="center" wrapText="1"/>
    </xf>
    <xf numFmtId="177" fontId="37" fillId="0" borderId="16" xfId="0" applyNumberFormat="1" applyFont="1" applyFill="1" applyBorder="1" applyAlignment="1">
      <alignment horizontal="center" vertical="center" wrapText="1"/>
    </xf>
    <xf numFmtId="0" fontId="43" fillId="0" borderId="5" xfId="0" applyFont="1" applyFill="1" applyBorder="1"/>
    <xf numFmtId="0" fontId="14" fillId="0" borderId="5" xfId="0" applyFont="1" applyFill="1" applyBorder="1" applyAlignment="1">
      <alignment horizontal="justify" vertical="center" wrapText="1"/>
    </xf>
    <xf numFmtId="0" fontId="16" fillId="0" borderId="5" xfId="43" applyFont="1" applyBorder="1" applyAlignment="1">
      <alignment vertical="center" shrinkToFit="1"/>
    </xf>
    <xf numFmtId="0" fontId="16" fillId="0" borderId="5" xfId="43" applyFont="1" applyBorder="1" applyAlignment="1">
      <alignment horizontal="justify" vertical="center" wrapText="1"/>
    </xf>
    <xf numFmtId="0" fontId="16" fillId="0" borderId="5" xfId="43" applyFont="1" applyBorder="1" applyAlignment="1">
      <alignment horizontal="center" vertical="center" wrapText="1"/>
    </xf>
    <xf numFmtId="0" fontId="36" fillId="0" borderId="5" xfId="43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0" fontId="1" fillId="0" borderId="10" xfId="3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justify" vertical="center" wrapText="1"/>
    </xf>
    <xf numFmtId="0" fontId="20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" fillId="0" borderId="10" xfId="43" applyFont="1" applyFill="1" applyBorder="1" applyAlignment="1">
      <alignment vertical="center" wrapText="1"/>
    </xf>
    <xf numFmtId="0" fontId="44" fillId="0" borderId="10" xfId="43" applyFont="1" applyFill="1" applyBorder="1" applyAlignment="1">
      <alignment vertical="center" wrapText="1"/>
    </xf>
    <xf numFmtId="0" fontId="15" fillId="0" borderId="10" xfId="43" applyFont="1" applyFill="1" applyBorder="1" applyAlignment="1">
      <alignment vertical="center" wrapText="1"/>
    </xf>
    <xf numFmtId="0" fontId="15" fillId="0" borderId="10" xfId="43" applyFont="1" applyBorder="1" applyAlignment="1">
      <alignment vertical="center" shrinkToFit="1"/>
    </xf>
    <xf numFmtId="0" fontId="41" fillId="0" borderId="0" xfId="43" applyFont="1" applyBorder="1"/>
    <xf numFmtId="0" fontId="15" fillId="0" borderId="10" xfId="43" applyFont="1" applyBorder="1" applyAlignment="1">
      <alignment horizontal="justify" vertical="center" wrapText="1"/>
    </xf>
    <xf numFmtId="0" fontId="42" fillId="0" borderId="0" xfId="43" applyFont="1" applyBorder="1" applyAlignment="1">
      <alignment wrapText="1"/>
    </xf>
    <xf numFmtId="0" fontId="42" fillId="0" borderId="0" xfId="43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 wrapText="1" shrinkToFit="1"/>
    </xf>
    <xf numFmtId="0" fontId="42" fillId="5" borderId="0" xfId="0" applyFont="1" applyFill="1" applyBorder="1" applyAlignment="1">
      <alignment horizontal="center" vertical="center" wrapText="1" shrinkToFit="1"/>
    </xf>
    <xf numFmtId="0" fontId="42" fillId="0" borderId="0" xfId="43" applyFont="1" applyBorder="1"/>
    <xf numFmtId="0" fontId="42" fillId="0" borderId="0" xfId="0" applyFont="1" applyFill="1" applyBorder="1" applyAlignment="1">
      <alignment vertical="center" wrapText="1" shrinkToFit="1"/>
    </xf>
    <xf numFmtId="0" fontId="16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justify" vertical="center" wrapText="1"/>
    </xf>
    <xf numFmtId="0" fontId="16" fillId="3" borderId="5" xfId="0" applyFont="1" applyFill="1" applyBorder="1" applyAlignment="1">
      <alignment horizontal="center" vertical="center" wrapText="1"/>
    </xf>
    <xf numFmtId="10" fontId="7" fillId="0" borderId="5" xfId="15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 shrinkToFit="1"/>
    </xf>
    <xf numFmtId="176" fontId="16" fillId="0" borderId="5" xfId="43" applyNumberFormat="1" applyFont="1" applyFill="1" applyBorder="1" applyAlignment="1">
      <alignment horizontal="center" vertical="center" wrapText="1"/>
    </xf>
    <xf numFmtId="176" fontId="16" fillId="0" borderId="5" xfId="43" applyNumberFormat="1" applyFont="1" applyFill="1" applyBorder="1" applyAlignment="1">
      <alignment horizontal="right" vertical="center" shrinkToFit="1"/>
    </xf>
    <xf numFmtId="176" fontId="28" fillId="0" borderId="5" xfId="0" applyNumberFormat="1" applyFont="1" applyFill="1" applyBorder="1" applyAlignment="1">
      <alignment horizontal="center" vertical="center" wrapText="1" shrinkToFit="1"/>
    </xf>
    <xf numFmtId="176" fontId="14" fillId="0" borderId="5" xfId="43" applyNumberFormat="1" applyFont="1" applyFill="1" applyBorder="1" applyAlignment="1">
      <alignment horizontal="center" vertical="center" wrapText="1"/>
    </xf>
    <xf numFmtId="176" fontId="9" fillId="0" borderId="5" xfId="43" applyNumberFormat="1" applyFont="1" applyFill="1" applyBorder="1" applyAlignment="1">
      <alignment horizontal="right" vertical="center" shrinkToFit="1"/>
    </xf>
    <xf numFmtId="1" fontId="16" fillId="0" borderId="4" xfId="43" applyNumberFormat="1" applyFont="1" applyFill="1" applyBorder="1" applyAlignment="1">
      <alignment horizontal="center" vertical="center" wrapText="1"/>
    </xf>
    <xf numFmtId="0" fontId="16" fillId="3" borderId="5" xfId="43" applyFont="1" applyFill="1" applyBorder="1" applyAlignment="1">
      <alignment horizontal="justify" vertical="center" wrapText="1"/>
    </xf>
    <xf numFmtId="0" fontId="17" fillId="0" borderId="5" xfId="43" applyFont="1" applyBorder="1" applyAlignment="1">
      <alignment horizontal="center" vertical="center" shrinkToFit="1"/>
    </xf>
    <xf numFmtId="0" fontId="36" fillId="0" borderId="5" xfId="43" applyFont="1" applyBorder="1" applyAlignment="1">
      <alignment horizontal="center" vertical="center" wrapText="1"/>
    </xf>
    <xf numFmtId="176" fontId="30" fillId="0" borderId="5" xfId="43" applyNumberFormat="1" applyFont="1" applyFill="1" applyBorder="1" applyAlignment="1">
      <alignment horizontal="center" vertical="center" wrapText="1"/>
    </xf>
    <xf numFmtId="176" fontId="16" fillId="0" borderId="5" xfId="43" applyNumberFormat="1" applyFont="1" applyBorder="1" applyAlignment="1">
      <alignment horizontal="justify" vertical="center" wrapText="1"/>
    </xf>
    <xf numFmtId="1" fontId="36" fillId="0" borderId="4" xfId="43" applyNumberFormat="1" applyFont="1" applyFill="1" applyBorder="1" applyAlignment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176" fontId="16" fillId="0" borderId="5" xfId="43" applyNumberFormat="1" applyFont="1" applyFill="1" applyBorder="1" applyAlignment="1">
      <alignment horizontal="center" vertical="center" shrinkToFit="1"/>
    </xf>
    <xf numFmtId="176" fontId="8" fillId="0" borderId="5" xfId="43" applyNumberFormat="1" applyFont="1" applyBorder="1" applyAlignment="1">
      <alignment horizontal="center" vertical="center" wrapText="1"/>
    </xf>
    <xf numFmtId="0" fontId="3" fillId="0" borderId="5" xfId="43" applyFont="1" applyFill="1" applyBorder="1"/>
    <xf numFmtId="177" fontId="7" fillId="0" borderId="5" xfId="43" applyNumberFormat="1" applyFont="1" applyFill="1" applyBorder="1" applyAlignment="1">
      <alignment horizontal="center" vertical="center" wrapText="1"/>
    </xf>
    <xf numFmtId="0" fontId="36" fillId="0" borderId="5" xfId="7" applyFont="1" applyFill="1" applyBorder="1" applyAlignment="1">
      <alignment horizontal="center" vertical="center" wrapText="1"/>
    </xf>
    <xf numFmtId="176" fontId="16" fillId="0" borderId="5" xfId="7" applyNumberFormat="1" applyFont="1" applyFill="1" applyBorder="1" applyAlignment="1">
      <alignment horizontal="center" vertical="center" wrapText="1"/>
    </xf>
    <xf numFmtId="0" fontId="31" fillId="0" borderId="4" xfId="43" applyFont="1" applyFill="1" applyBorder="1" applyAlignment="1">
      <alignment vertical="center"/>
    </xf>
    <xf numFmtId="0" fontId="45" fillId="0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6" fontId="45" fillId="0" borderId="5" xfId="0" applyNumberFormat="1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vertical="center" shrinkToFit="1"/>
    </xf>
    <xf numFmtId="176" fontId="24" fillId="0" borderId="5" xfId="0" applyNumberFormat="1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justify" vertical="center" wrapText="1"/>
    </xf>
    <xf numFmtId="0" fontId="15" fillId="0" borderId="10" xfId="0" applyFont="1" applyBorder="1" applyAlignment="1">
      <alignment vertical="center" shrinkToFit="1"/>
    </xf>
    <xf numFmtId="0" fontId="10" fillId="0" borderId="10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left" vertical="center" wrapText="1" shrinkToFit="1"/>
    </xf>
    <xf numFmtId="0" fontId="15" fillId="0" borderId="10" xfId="43" applyFont="1" applyBorder="1" applyAlignment="1">
      <alignment vertical="center" wrapText="1"/>
    </xf>
    <xf numFmtId="0" fontId="37" fillId="0" borderId="10" xfId="43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justify" vertical="center" wrapText="1"/>
    </xf>
    <xf numFmtId="0" fontId="46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42" fillId="0" borderId="0" xfId="43" applyFont="1" applyFill="1" applyBorder="1" applyAlignment="1">
      <alignment horizontal="center" wrapText="1"/>
    </xf>
    <xf numFmtId="0" fontId="8" fillId="0" borderId="0" xfId="43" applyFont="1" applyFill="1" applyBorder="1" applyAlignment="1">
      <alignment wrapText="1"/>
    </xf>
    <xf numFmtId="0" fontId="24" fillId="0" borderId="0" xfId="43" applyFont="1" applyFill="1" applyBorder="1" applyAlignment="1">
      <alignment horizontal="center" shrinkToFit="1"/>
    </xf>
    <xf numFmtId="0" fontId="8" fillId="0" borderId="0" xfId="43" applyFont="1" applyFill="1" applyBorder="1" applyAlignment="1">
      <alignment shrinkToFit="1"/>
    </xf>
    <xf numFmtId="0" fontId="8" fillId="0" borderId="0" xfId="43" applyFont="1" applyFill="1" applyBorder="1" applyAlignment="1">
      <alignment horizontal="center" shrinkToFit="1"/>
    </xf>
    <xf numFmtId="0" fontId="41" fillId="6" borderId="0" xfId="0" applyFont="1" applyFill="1" applyBorder="1" applyAlignment="1">
      <alignment horizontal="center" vertical="center" wrapText="1" shrinkToFit="1"/>
    </xf>
    <xf numFmtId="176" fontId="8" fillId="6" borderId="0" xfId="0" applyNumberFormat="1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shrinkToFit="1"/>
    </xf>
    <xf numFmtId="178" fontId="24" fillId="0" borderId="0" xfId="0" applyNumberFormat="1" applyFont="1" applyFill="1" applyBorder="1" applyAlignment="1">
      <alignment horizontal="center" vertical="center" shrinkToFit="1"/>
    </xf>
    <xf numFmtId="0" fontId="8" fillId="5" borderId="0" xfId="0" applyFont="1" applyFill="1" applyBorder="1" applyAlignment="1">
      <alignment horizontal="center" vertical="center" wrapText="1" shrinkToFit="1"/>
    </xf>
    <xf numFmtId="180" fontId="24" fillId="0" borderId="0" xfId="0" applyNumberFormat="1" applyFont="1" applyFill="1" applyBorder="1" applyAlignment="1">
      <alignment horizontal="center" vertical="center" shrinkToFit="1"/>
    </xf>
    <xf numFmtId="0" fontId="24" fillId="4" borderId="0" xfId="0" applyFont="1" applyFill="1" applyBorder="1" applyAlignment="1">
      <alignment horizontal="center" vertical="center" shrinkToFit="1"/>
    </xf>
    <xf numFmtId="180" fontId="24" fillId="4" borderId="0" xfId="0" applyNumberFormat="1" applyFont="1" applyFill="1" applyBorder="1" applyAlignment="1">
      <alignment horizontal="center" vertical="center" shrinkToFit="1"/>
    </xf>
    <xf numFmtId="0" fontId="42" fillId="4" borderId="0" xfId="0" applyFont="1" applyFill="1" applyBorder="1" applyAlignment="1">
      <alignment vertical="center" wrapText="1" shrinkToFit="1"/>
    </xf>
    <xf numFmtId="0" fontId="14" fillId="0" borderId="5" xfId="0" applyFont="1" applyBorder="1" applyAlignment="1">
      <alignment horizontal="center" vertical="center" shrinkToFit="1"/>
    </xf>
    <xf numFmtId="0" fontId="31" fillId="0" borderId="4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/>
    </xf>
    <xf numFmtId="177" fontId="16" fillId="0" borderId="5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177" fontId="14" fillId="0" borderId="5" xfId="0" applyNumberFormat="1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177" fontId="34" fillId="0" borderId="5" xfId="0" applyNumberFormat="1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vertical="center" shrinkToFit="1"/>
    </xf>
    <xf numFmtId="0" fontId="36" fillId="0" borderId="6" xfId="0" applyFont="1" applyFill="1" applyBorder="1" applyAlignment="1">
      <alignment vertical="center"/>
    </xf>
    <xf numFmtId="0" fontId="36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vertical="center" shrinkToFit="1"/>
    </xf>
    <xf numFmtId="0" fontId="34" fillId="0" borderId="0" xfId="0" applyFont="1" applyFill="1" applyBorder="1" applyAlignment="1">
      <alignment horizontal="left"/>
    </xf>
    <xf numFmtId="0" fontId="17" fillId="2" borderId="0" xfId="0" applyFont="1" applyFill="1" applyBorder="1"/>
    <xf numFmtId="0" fontId="16" fillId="0" borderId="0" xfId="0" applyFont="1" applyFill="1" applyBorder="1" applyAlignment="1">
      <alignment horizontal="center" shrinkToFit="1"/>
    </xf>
    <xf numFmtId="0" fontId="1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1" fillId="0" borderId="0" xfId="0" applyFont="1" applyFill="1" applyBorder="1"/>
    <xf numFmtId="0" fontId="3" fillId="0" borderId="0" xfId="0" applyFont="1" applyFill="1" applyBorder="1" applyAlignment="1">
      <alignment shrinkToFit="1"/>
    </xf>
    <xf numFmtId="9" fontId="3" fillId="4" borderId="0" xfId="0" applyNumberFormat="1" applyFont="1" applyFill="1" applyBorder="1" applyAlignment="1">
      <alignment shrinkToFit="1"/>
    </xf>
    <xf numFmtId="9" fontId="3" fillId="0" borderId="0" xfId="0" applyNumberFormat="1" applyFont="1" applyFill="1" applyBorder="1" applyAlignment="1">
      <alignment shrinkToFit="1"/>
    </xf>
    <xf numFmtId="9" fontId="3" fillId="0" borderId="0" xfId="0" applyNumberFormat="1" applyFont="1" applyFill="1" applyBorder="1"/>
    <xf numFmtId="0" fontId="47" fillId="0" borderId="0" xfId="0" applyFont="1" applyFill="1" applyBorder="1"/>
    <xf numFmtId="0" fontId="47" fillId="0" borderId="0" xfId="0" applyFont="1" applyFill="1" applyBorder="1" applyAlignment="1">
      <alignment vertical="center"/>
    </xf>
    <xf numFmtId="0" fontId="48" fillId="0" borderId="0" xfId="0" applyFont="1"/>
    <xf numFmtId="0" fontId="0" fillId="0" borderId="18" xfId="0" applyBorder="1"/>
    <xf numFmtId="1" fontId="49" fillId="0" borderId="18" xfId="0" applyNumberFormat="1" applyFont="1" applyFill="1" applyBorder="1" applyAlignment="1">
      <alignment horizontal="center" vertical="center"/>
    </xf>
    <xf numFmtId="1" fontId="46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6" fontId="46" fillId="0" borderId="19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47" fillId="0" borderId="18" xfId="0" applyFont="1" applyFill="1" applyBorder="1"/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justify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wrapText="1"/>
    </xf>
    <xf numFmtId="180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shrinkToFit="1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justify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justify" vertical="center" wrapText="1"/>
    </xf>
    <xf numFmtId="0" fontId="0" fillId="0" borderId="18" xfId="0" applyFont="1" applyFill="1" applyBorder="1"/>
    <xf numFmtId="0" fontId="0" fillId="0" borderId="0" xfId="0" applyBorder="1"/>
    <xf numFmtId="0" fontId="0" fillId="0" borderId="19" xfId="0" applyBorder="1"/>
    <xf numFmtId="0" fontId="0" fillId="0" borderId="0" xfId="0" applyFont="1" applyFill="1"/>
    <xf numFmtId="0" fontId="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0" fillId="0" borderId="0" xfId="0" applyFont="1" applyAlignment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2" fillId="0" borderId="0" xfId="0" applyFont="1"/>
    <xf numFmtId="0" fontId="50" fillId="0" borderId="0" xfId="0" applyFont="1" applyAlignment="1">
      <alignment horizontal="left"/>
    </xf>
    <xf numFmtId="0" fontId="55" fillId="0" borderId="0" xfId="0" applyFont="1" applyFill="1" applyBorder="1" applyAlignment="1">
      <alignment horizontal="center"/>
    </xf>
    <xf numFmtId="0" fontId="50" fillId="0" borderId="0" xfId="0" applyFont="1"/>
    <xf numFmtId="0" fontId="55" fillId="0" borderId="1" xfId="0" applyFont="1" applyFill="1" applyBorder="1" applyAlignment="1">
      <alignment horizontal="center"/>
    </xf>
    <xf numFmtId="0" fontId="55" fillId="0" borderId="24" xfId="0" applyFont="1" applyFill="1" applyBorder="1" applyAlignment="1">
      <alignment horizontal="center"/>
    </xf>
    <xf numFmtId="0" fontId="56" fillId="0" borderId="24" xfId="0" applyFont="1" applyFill="1" applyBorder="1" applyAlignment="1">
      <alignment horizontal="center"/>
    </xf>
    <xf numFmtId="0" fontId="56" fillId="0" borderId="1" xfId="0" applyFont="1" applyFill="1" applyBorder="1" applyAlignment="1">
      <alignment horizontal="center"/>
    </xf>
    <xf numFmtId="0" fontId="0" fillId="0" borderId="24" xfId="0" applyFont="1" applyBorder="1"/>
    <xf numFmtId="0" fontId="55" fillId="0" borderId="24" xfId="0" applyFont="1" applyFill="1" applyBorder="1" applyAlignment="1">
      <alignment horizontal="left"/>
    </xf>
    <xf numFmtId="0" fontId="0" fillId="0" borderId="1" xfId="0" applyFont="1" applyBorder="1"/>
    <xf numFmtId="0" fontId="55" fillId="0" borderId="1" xfId="0" applyFont="1" applyFill="1" applyBorder="1" applyAlignment="1">
      <alignment horizontal="left"/>
    </xf>
    <xf numFmtId="0" fontId="52" fillId="0" borderId="0" xfId="0" applyFont="1" applyFill="1"/>
    <xf numFmtId="0" fontId="57" fillId="0" borderId="0" xfId="0" applyFont="1" applyFill="1" applyAlignment="1">
      <alignment horizontal="left"/>
    </xf>
    <xf numFmtId="0" fontId="57" fillId="0" borderId="0" xfId="0" applyFont="1" applyAlignment="1">
      <alignment horizontal="left"/>
    </xf>
    <xf numFmtId="0" fontId="5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58" fillId="0" borderId="0" xfId="0" applyFont="1" applyBorder="1" applyAlignment="1">
      <alignment horizontal="center"/>
    </xf>
    <xf numFmtId="180" fontId="55" fillId="0" borderId="0" xfId="0" applyNumberFormat="1" applyFont="1" applyFill="1" applyBorder="1" applyAlignment="1">
      <alignment horizontal="center"/>
    </xf>
    <xf numFmtId="180" fontId="55" fillId="0" borderId="0" xfId="0" applyNumberFormat="1" applyFont="1" applyFill="1" applyBorder="1" applyAlignment="1">
      <alignment horizontal="left"/>
    </xf>
    <xf numFmtId="180" fontId="55" fillId="0" borderId="1" xfId="0" applyNumberFormat="1" applyFont="1" applyFill="1" applyBorder="1" applyAlignment="1">
      <alignment horizontal="center"/>
    </xf>
    <xf numFmtId="180" fontId="55" fillId="0" borderId="1" xfId="0" applyNumberFormat="1" applyFont="1" applyFill="1" applyBorder="1" applyAlignment="1">
      <alignment horizontal="left"/>
    </xf>
  </cellXfs>
  <cellStyles count="61">
    <cellStyle name="常规" xfId="0" builtinId="0"/>
    <cellStyle name="货币[0]" xfId="1" builtinId="7"/>
    <cellStyle name="常规 2 2 2 2" xfId="2"/>
    <cellStyle name="60% - 着色 2" xfId="3"/>
    <cellStyle name="20% - 强调文字颜色 3" xfId="4" builtinId="38"/>
    <cellStyle name="输入" xfId="5" builtinId="20"/>
    <cellStyle name="货币" xfId="6" builtinId="4"/>
    <cellStyle name="常规 2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着色 5" xfId="39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2 3 2" xfId="57"/>
    <cellStyle name="60% - 强调文字颜色 6" xfId="58" builtinId="52"/>
    <cellStyle name="常规 2" xfId="59"/>
    <cellStyle name="常规其他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34397</xdr:colOff>
      <xdr:row>0</xdr:row>
      <xdr:rowOff>992</xdr:rowOff>
    </xdr:from>
    <xdr:to>
      <xdr:col>0</xdr:col>
      <xdr:colOff>766353</xdr:colOff>
      <xdr:row>2</xdr:row>
      <xdr:rowOff>121542</xdr:rowOff>
    </xdr:to>
    <xdr:pic>
      <xdr:nvPicPr>
        <xdr:cNvPr id="131073" name="Picture_1"/>
        <xdr:cNvPicPr>
          <a:picLocks noChangeAspect="1"/>
        </xdr:cNvPicPr>
      </xdr:nvPicPr>
      <xdr:blipFill>
        <a:blip r:embed="rId1"/>
        <a:srcRect/>
      </xdr:blipFill>
      <xdr:spPr>
        <a:xfrm>
          <a:off x="34290" y="635"/>
          <a:ext cx="651510" cy="5683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013;&#2046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ll&#39044;&#31639;3.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ll&#20027;&#3902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:A2"/>
    </sheetView>
  </sheetViews>
  <sheetFormatPr defaultColWidth="8" defaultRowHeight="14.25"/>
  <cols>
    <col min="1" max="3" width="9" customWidth="1"/>
    <col min="4" max="4" width="6.9" customWidth="1"/>
    <col min="5" max="5" width="10.2" customWidth="1"/>
    <col min="6" max="257" width="9" customWidth="1"/>
  </cols>
  <sheetData>
    <row r="1" ht="20.25" customHeight="1" spans="1:14">
      <c r="A1" s="415"/>
      <c r="B1" s="416" t="s">
        <v>0</v>
      </c>
      <c r="C1" s="416"/>
      <c r="D1" s="416"/>
      <c r="K1" s="438"/>
      <c r="L1" s="438"/>
      <c r="M1" s="439"/>
      <c r="N1" s="439"/>
    </row>
    <row r="2" ht="15" customHeight="1" spans="1:14">
      <c r="A2" s="415"/>
      <c r="B2" s="417" t="s">
        <v>1</v>
      </c>
      <c r="C2" s="417"/>
      <c r="D2" s="417"/>
      <c r="L2" s="439"/>
      <c r="M2" s="440"/>
      <c r="N2" s="440"/>
    </row>
    <row r="3" customHeight="1" spans="2:14">
      <c r="B3" s="418"/>
      <c r="C3" s="418"/>
      <c r="D3" s="418"/>
      <c r="E3" s="418"/>
      <c r="F3" s="419"/>
      <c r="L3" s="439"/>
      <c r="M3" s="440"/>
      <c r="N3" s="440"/>
    </row>
    <row r="4" ht="3" customHeight="1" spans="2:14">
      <c r="B4" s="418"/>
      <c r="C4" s="418"/>
      <c r="D4" s="418"/>
      <c r="E4" s="418"/>
      <c r="I4" s="415"/>
      <c r="J4" s="415"/>
      <c r="K4" s="415"/>
      <c r="L4" s="439"/>
      <c r="M4" s="439"/>
      <c r="N4" s="439"/>
    </row>
    <row r="5" customHeight="1" spans="2:13">
      <c r="B5" s="420" t="s">
        <v>2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</row>
    <row r="6" customHeight="1" spans="2:13"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</row>
    <row r="7" customHeight="1" spans="2:13"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</row>
    <row r="8" ht="12" customHeight="1" spans="2:13"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</row>
    <row r="9" ht="36" customHeight="1"/>
    <row r="11" ht="20.25" customHeight="1" spans="1:14">
      <c r="A11" s="422"/>
      <c r="B11" s="423" t="s">
        <v>3</v>
      </c>
      <c r="C11" s="423"/>
      <c r="D11" s="424" t="e">
        <f>预算-'[1]#REF'!C2</f>
        <v>#NAME?</v>
      </c>
      <c r="E11" s="424"/>
      <c r="F11" s="424"/>
      <c r="G11" s="425"/>
      <c r="H11" s="423" t="s">
        <v>4</v>
      </c>
      <c r="I11" s="423"/>
      <c r="J11" s="441"/>
      <c r="K11" s="441" t="e">
        <f>预算-'[1]#REF'!G203</f>
        <v>#NAME?</v>
      </c>
      <c r="L11" s="441"/>
      <c r="M11" s="442" t="s">
        <v>5</v>
      </c>
      <c r="N11" s="422"/>
    </row>
    <row r="12" ht="20.25" customHeight="1" spans="1:14">
      <c r="A12" s="422"/>
      <c r="B12" s="423"/>
      <c r="C12" s="423"/>
      <c r="D12" s="426"/>
      <c r="E12" s="426"/>
      <c r="F12" s="426"/>
      <c r="G12" s="425"/>
      <c r="H12" s="423"/>
      <c r="I12" s="423"/>
      <c r="J12" s="443"/>
      <c r="K12" s="443"/>
      <c r="L12" s="443"/>
      <c r="M12" s="444"/>
      <c r="N12" s="422"/>
    </row>
    <row r="13" ht="20.25" customHeight="1" spans="1:14">
      <c r="A13" s="422"/>
      <c r="B13" s="423" t="s">
        <v>6</v>
      </c>
      <c r="C13" s="423"/>
      <c r="D13" s="427" t="e">
        <f>预算-'[1]#REF'!H2</f>
        <v>#NAME?</v>
      </c>
      <c r="E13" s="428"/>
      <c r="F13" s="428"/>
      <c r="G13" s="425"/>
      <c r="H13" s="423" t="s">
        <v>7</v>
      </c>
      <c r="I13" s="423"/>
      <c r="J13" s="427" t="e">
        <f>预算-'[1]#REF'!C4</f>
        <v>#NAME?</v>
      </c>
      <c r="K13" s="427"/>
      <c r="L13" s="427"/>
      <c r="M13" s="427"/>
      <c r="N13" s="422"/>
    </row>
    <row r="14" ht="20.25" customHeight="1" spans="1:14">
      <c r="A14" s="422"/>
      <c r="B14" s="423"/>
      <c r="C14" s="423"/>
      <c r="D14" s="429"/>
      <c r="E14" s="429"/>
      <c r="F14" s="429"/>
      <c r="G14" s="425"/>
      <c r="H14" s="423"/>
      <c r="I14" s="423"/>
      <c r="J14" s="426"/>
      <c r="K14" s="426"/>
      <c r="L14" s="426"/>
      <c r="M14" s="426"/>
      <c r="N14" s="422"/>
    </row>
    <row r="15" ht="20.25" customHeight="1" spans="1:14">
      <c r="A15" s="422"/>
      <c r="B15" s="423" t="s">
        <v>8</v>
      </c>
      <c r="C15" s="423"/>
      <c r="D15" s="427" t="e">
        <f>预算-'[1]#REF'!F3</f>
        <v>#NAME?</v>
      </c>
      <c r="E15" s="427"/>
      <c r="F15" s="427"/>
      <c r="G15" s="425"/>
      <c r="H15" s="423" t="s">
        <v>9</v>
      </c>
      <c r="I15" s="423"/>
      <c r="J15" s="427" t="e">
        <f>'[2]#REF'!F1</f>
        <v>#REF!</v>
      </c>
      <c r="K15" s="427"/>
      <c r="L15" s="427"/>
      <c r="M15" s="427"/>
      <c r="N15" s="422"/>
    </row>
    <row r="16" ht="20.25" customHeight="1" spans="1:14">
      <c r="A16" s="422"/>
      <c r="B16" s="423"/>
      <c r="C16" s="423"/>
      <c r="D16" s="426"/>
      <c r="E16" s="426"/>
      <c r="F16" s="426"/>
      <c r="G16" s="425"/>
      <c r="H16" s="423"/>
      <c r="I16" s="423"/>
      <c r="J16" s="426"/>
      <c r="K16" s="426"/>
      <c r="L16" s="426"/>
      <c r="M16" s="426"/>
      <c r="N16" s="422"/>
    </row>
    <row r="17" ht="20.25" customHeight="1" spans="1:14">
      <c r="A17" s="422"/>
      <c r="B17" s="423" t="s">
        <v>10</v>
      </c>
      <c r="C17" s="423"/>
      <c r="D17" s="430"/>
      <c r="E17" s="427" t="e">
        <f>预算-'[1]#REF'!C3</f>
        <v>#NAME?</v>
      </c>
      <c r="F17" s="431" t="s">
        <v>11</v>
      </c>
      <c r="G17" s="425"/>
      <c r="H17" s="423" t="e">
        <f>预算-'[1]#REF'!F2</f>
        <v>#NAME?</v>
      </c>
      <c r="I17" s="423" t="s">
        <v>12</v>
      </c>
      <c r="J17" s="427" t="e">
        <f>IF(H17="普润","O813-8105438",IF(H17="东方","O813-2107288",IF(H17="川南","O813-2639037",IF(H17="荣县","0813-6101556",IF(H17="公装","13320814068",IF(H17="南湖","0813-8219258",IF(H17="威远","0832-8263222",IF(H17="富顺","0813-7101078"))))))))</f>
        <v>#NAME?</v>
      </c>
      <c r="K17" s="427"/>
      <c r="L17" s="427"/>
      <c r="M17" s="427"/>
      <c r="N17" s="422" t="s">
        <v>13</v>
      </c>
    </row>
    <row r="18" ht="20.25" customHeight="1" spans="1:14">
      <c r="A18" s="422"/>
      <c r="B18" s="423"/>
      <c r="C18" s="423"/>
      <c r="D18" s="432"/>
      <c r="E18" s="426"/>
      <c r="F18" s="433"/>
      <c r="G18" s="425"/>
      <c r="H18" s="423"/>
      <c r="I18" s="423"/>
      <c r="J18" s="426"/>
      <c r="K18" s="426"/>
      <c r="L18" s="426"/>
      <c r="M18" s="426"/>
      <c r="N18" s="422"/>
    </row>
    <row r="19" customHeight="1" spans="1:14">
      <c r="A19" s="422"/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</row>
    <row r="20" customHeight="1" spans="1:14">
      <c r="A20" s="422"/>
      <c r="B20" s="422"/>
      <c r="C20" s="422"/>
      <c r="D20" s="422"/>
      <c r="E20" s="422"/>
      <c r="F20" s="422"/>
      <c r="G20" s="422" t="s">
        <v>13</v>
      </c>
      <c r="H20" s="422"/>
      <c r="I20" s="422"/>
      <c r="J20" s="422"/>
      <c r="K20" s="422"/>
      <c r="L20" s="422"/>
      <c r="M20" s="422"/>
      <c r="N20" s="422"/>
    </row>
    <row r="21" customHeight="1" spans="1:14">
      <c r="A21" s="422"/>
      <c r="B21" s="423"/>
      <c r="C21" s="423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</row>
    <row r="22" customHeight="1" spans="1:14">
      <c r="A22" s="422"/>
      <c r="B22" s="423"/>
      <c r="C22" s="423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</row>
    <row r="23" s="414" customFormat="1" customHeight="1" spans="1:14">
      <c r="A23" s="434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</row>
    <row r="24" s="414" customFormat="1" customHeight="1" spans="1:14">
      <c r="A24" s="434"/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</row>
    <row r="25" customHeight="1" spans="1:14">
      <c r="A25" s="422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</row>
    <row r="26" customHeight="1" spans="1:14">
      <c r="A26" s="422"/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</row>
    <row r="27" customHeight="1" spans="1:14">
      <c r="A27" s="437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</row>
    <row r="28" customHeight="1" spans="1:14">
      <c r="A28" s="437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</row>
  </sheetData>
  <mergeCells count="32">
    <mergeCell ref="B1:D1"/>
    <mergeCell ref="K1:L1"/>
    <mergeCell ref="B2:D2"/>
    <mergeCell ref="I4:K4"/>
    <mergeCell ref="A1:A2"/>
    <mergeCell ref="E17:E18"/>
    <mergeCell ref="F17:F18"/>
    <mergeCell ref="H17:H18"/>
    <mergeCell ref="I17:I18"/>
    <mergeCell ref="J11:J12"/>
    <mergeCell ref="M11:M12"/>
    <mergeCell ref="M2:N3"/>
    <mergeCell ref="B3:E4"/>
    <mergeCell ref="B13:C14"/>
    <mergeCell ref="H13:I14"/>
    <mergeCell ref="B5:M8"/>
    <mergeCell ref="B11:C12"/>
    <mergeCell ref="H11:I12"/>
    <mergeCell ref="J15:M16"/>
    <mergeCell ref="D13:F14"/>
    <mergeCell ref="B15:C16"/>
    <mergeCell ref="H15:I16"/>
    <mergeCell ref="K11:L12"/>
    <mergeCell ref="D15:F16"/>
    <mergeCell ref="J13:M14"/>
    <mergeCell ref="D11:F12"/>
    <mergeCell ref="A27:N28"/>
    <mergeCell ref="B17:C18"/>
    <mergeCell ref="J17:M18"/>
    <mergeCell ref="B21:C22"/>
    <mergeCell ref="B23:N24"/>
    <mergeCell ref="B25:N2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145" zoomScaleNormal="145" zoomScaleSheetLayoutView="145" topLeftCell="A3" workbookViewId="0">
      <selection activeCell="J13" sqref="J13"/>
    </sheetView>
  </sheetViews>
  <sheetFormatPr defaultColWidth="8" defaultRowHeight="14.25"/>
  <cols>
    <col min="1" max="1" width="5.6" customWidth="1"/>
    <col min="2" max="2" width="23.7" customWidth="1"/>
    <col min="3" max="3" width="5.2" customWidth="1"/>
    <col min="4" max="4" width="4.9" customWidth="1"/>
    <col min="5" max="5" width="6.3" style="384" customWidth="1"/>
    <col min="6" max="6" width="7.9" customWidth="1"/>
    <col min="7" max="7" width="14.125" customWidth="1"/>
    <col min="8" max="8" width="10.5166666666667" style="385" customWidth="1"/>
    <col min="9" max="123" width="9" customWidth="1"/>
    <col min="124" max="124" width="9"/>
  </cols>
  <sheetData>
    <row r="1" ht="30" customHeight="1" spans="1:8">
      <c r="A1" s="386" t="s">
        <v>14</v>
      </c>
      <c r="B1" s="386"/>
      <c r="C1" s="386"/>
      <c r="D1" s="386"/>
      <c r="E1" s="386"/>
      <c r="F1" s="386"/>
      <c r="G1" s="386"/>
      <c r="H1" s="386"/>
    </row>
    <row r="2" s="382" customFormat="1" ht="24" spans="1:8">
      <c r="A2" s="387" t="s">
        <v>15</v>
      </c>
      <c r="B2" s="388" t="s">
        <v>16</v>
      </c>
      <c r="C2" s="388" t="s">
        <v>17</v>
      </c>
      <c r="D2" s="388" t="s">
        <v>18</v>
      </c>
      <c r="E2" s="388" t="s">
        <v>19</v>
      </c>
      <c r="F2" s="389" t="s">
        <v>20</v>
      </c>
      <c r="G2" s="390" t="s">
        <v>21</v>
      </c>
      <c r="H2" s="388" t="s">
        <v>22</v>
      </c>
    </row>
    <row r="3" s="382" customFormat="1" ht="19.95" customHeight="1" spans="1:8">
      <c r="A3" s="391" t="s">
        <v>23</v>
      </c>
      <c r="B3" s="392" t="s">
        <v>24</v>
      </c>
      <c r="C3" s="392"/>
      <c r="D3" s="392"/>
      <c r="E3" s="392"/>
      <c r="F3" s="393"/>
      <c r="G3" s="394"/>
      <c r="H3" s="395"/>
    </row>
    <row r="4" s="383" customFormat="1" ht="19.95" customHeight="1" spans="1:8">
      <c r="A4" s="396">
        <v>1</v>
      </c>
      <c r="B4" s="397" t="s">
        <v>25</v>
      </c>
      <c r="C4" s="396">
        <v>3</v>
      </c>
      <c r="D4" s="396" t="s">
        <v>26</v>
      </c>
      <c r="E4" s="396"/>
      <c r="F4" s="398"/>
      <c r="G4" s="394" t="s">
        <v>27</v>
      </c>
      <c r="H4" s="399"/>
    </row>
    <row r="5" s="382" customFormat="1" ht="19.95" customHeight="1" spans="1:8">
      <c r="A5" s="396">
        <v>2</v>
      </c>
      <c r="B5" s="400" t="s">
        <v>28</v>
      </c>
      <c r="C5" s="396">
        <v>4</v>
      </c>
      <c r="D5" s="396" t="s">
        <v>26</v>
      </c>
      <c r="E5" s="396"/>
      <c r="F5" s="398"/>
      <c r="G5" s="394" t="s">
        <v>29</v>
      </c>
      <c r="H5" s="395"/>
    </row>
    <row r="6" s="382" customFormat="1" ht="19.95" customHeight="1" spans="1:8">
      <c r="A6" s="391" t="s">
        <v>30</v>
      </c>
      <c r="B6" s="392" t="s">
        <v>31</v>
      </c>
      <c r="C6" s="392"/>
      <c r="D6" s="392"/>
      <c r="E6" s="392"/>
      <c r="F6" s="393"/>
      <c r="G6" s="394"/>
      <c r="H6" s="395"/>
    </row>
    <row r="7" s="383" customFormat="1" ht="39" customHeight="1" spans="1:8">
      <c r="A7" s="396">
        <v>1</v>
      </c>
      <c r="B7" s="397" t="s">
        <v>32</v>
      </c>
      <c r="C7" s="396">
        <v>8</v>
      </c>
      <c r="D7" s="396" t="s">
        <v>33</v>
      </c>
      <c r="E7" s="396"/>
      <c r="F7" s="398"/>
      <c r="G7" s="394" t="s">
        <v>34</v>
      </c>
      <c r="H7" s="399"/>
    </row>
    <row r="8" s="382" customFormat="1" ht="19.95" customHeight="1" spans="1:8">
      <c r="A8" s="396">
        <v>2</v>
      </c>
      <c r="B8" s="397" t="s">
        <v>35</v>
      </c>
      <c r="C8" s="401">
        <v>2</v>
      </c>
      <c r="D8" s="396" t="s">
        <v>36</v>
      </c>
      <c r="E8" s="396"/>
      <c r="F8" s="398"/>
      <c r="G8" s="394" t="s">
        <v>37</v>
      </c>
      <c r="H8" s="395"/>
    </row>
    <row r="9" s="382" customFormat="1" ht="19.95" customHeight="1" spans="1:8">
      <c r="A9" s="396">
        <v>3</v>
      </c>
      <c r="B9" s="397" t="s">
        <v>38</v>
      </c>
      <c r="C9" s="396">
        <v>1</v>
      </c>
      <c r="D9" s="396" t="s">
        <v>36</v>
      </c>
      <c r="E9" s="396"/>
      <c r="F9" s="398"/>
      <c r="G9" s="394" t="s">
        <v>39</v>
      </c>
      <c r="H9" s="395"/>
    </row>
    <row r="10" s="382" customFormat="1" ht="19.95" customHeight="1" spans="1:8">
      <c r="A10" s="396">
        <v>4</v>
      </c>
      <c r="B10" s="397" t="s">
        <v>40</v>
      </c>
      <c r="C10" s="396">
        <v>1</v>
      </c>
      <c r="D10" s="396" t="s">
        <v>36</v>
      </c>
      <c r="E10" s="396"/>
      <c r="F10" s="398"/>
      <c r="G10" s="394" t="s">
        <v>41</v>
      </c>
      <c r="H10" s="395"/>
    </row>
    <row r="11" s="3" customFormat="1" ht="19.95" customHeight="1" spans="1:8">
      <c r="A11" s="396">
        <v>5</v>
      </c>
      <c r="B11" s="400" t="s">
        <v>42</v>
      </c>
      <c r="C11" s="402">
        <v>1</v>
      </c>
      <c r="D11" s="396" t="s">
        <v>36</v>
      </c>
      <c r="E11" s="402"/>
      <c r="F11" s="398"/>
      <c r="G11" s="394" t="s">
        <v>43</v>
      </c>
      <c r="H11" s="403"/>
    </row>
    <row r="12" s="3" customFormat="1" ht="19.95" customHeight="1" spans="1:8">
      <c r="A12" s="396">
        <v>6</v>
      </c>
      <c r="B12" s="397" t="s">
        <v>44</v>
      </c>
      <c r="C12" s="402">
        <v>1</v>
      </c>
      <c r="D12" s="396" t="s">
        <v>45</v>
      </c>
      <c r="E12" s="402"/>
      <c r="F12" s="398"/>
      <c r="G12" s="394" t="s">
        <v>46</v>
      </c>
      <c r="H12" s="403"/>
    </row>
    <row r="13" s="3" customFormat="1" ht="26" customHeight="1" spans="1:8">
      <c r="A13" s="396">
        <v>7</v>
      </c>
      <c r="B13" s="397" t="s">
        <v>47</v>
      </c>
      <c r="C13" s="402">
        <v>2</v>
      </c>
      <c r="D13" s="396" t="s">
        <v>48</v>
      </c>
      <c r="E13" s="402"/>
      <c r="F13" s="398"/>
      <c r="G13" s="394" t="s">
        <v>49</v>
      </c>
      <c r="H13" s="403"/>
    </row>
    <row r="14" s="3" customFormat="1" ht="33" customHeight="1" spans="1:8">
      <c r="A14" s="396">
        <v>8</v>
      </c>
      <c r="B14" s="397" t="s">
        <v>50</v>
      </c>
      <c r="C14" s="402">
        <v>2</v>
      </c>
      <c r="D14" s="396" t="s">
        <v>48</v>
      </c>
      <c r="E14" s="402"/>
      <c r="F14" s="398"/>
      <c r="G14" s="394" t="s">
        <v>51</v>
      </c>
      <c r="H14" s="403"/>
    </row>
    <row r="15" s="3" customFormat="1" ht="19.95" customHeight="1" spans="1:8">
      <c r="A15" s="396">
        <v>9</v>
      </c>
      <c r="B15" s="397" t="s">
        <v>52</v>
      </c>
      <c r="C15" s="402">
        <v>2</v>
      </c>
      <c r="D15" s="396" t="s">
        <v>53</v>
      </c>
      <c r="E15" s="402"/>
      <c r="F15" s="398"/>
      <c r="G15" s="394"/>
      <c r="H15" s="403"/>
    </row>
    <row r="16" s="3" customFormat="1" ht="19.95" customHeight="1" spans="1:8">
      <c r="A16" s="396">
        <v>10</v>
      </c>
      <c r="B16" s="397" t="s">
        <v>54</v>
      </c>
      <c r="C16" s="402">
        <v>1</v>
      </c>
      <c r="D16" s="396" t="s">
        <v>53</v>
      </c>
      <c r="E16" s="402"/>
      <c r="F16" s="398"/>
      <c r="G16" s="394"/>
      <c r="H16" s="403"/>
    </row>
    <row r="17" s="3" customFormat="1" ht="19.95" customHeight="1" spans="1:8">
      <c r="A17" s="396">
        <v>11</v>
      </c>
      <c r="B17" s="397" t="s">
        <v>55</v>
      </c>
      <c r="C17" s="402">
        <v>1</v>
      </c>
      <c r="D17" s="396" t="s">
        <v>53</v>
      </c>
      <c r="E17" s="402"/>
      <c r="F17" s="398"/>
      <c r="G17" s="394"/>
      <c r="H17" s="403"/>
    </row>
    <row r="18" s="382" customFormat="1" ht="19.95" customHeight="1" spans="1:8">
      <c r="A18" s="396">
        <v>12</v>
      </c>
      <c r="B18" s="397" t="s">
        <v>56</v>
      </c>
      <c r="C18" s="404">
        <v>2</v>
      </c>
      <c r="D18" s="404" t="s">
        <v>36</v>
      </c>
      <c r="E18" s="392"/>
      <c r="F18" s="393"/>
      <c r="G18" s="394" t="s">
        <v>57</v>
      </c>
      <c r="H18" s="395"/>
    </row>
    <row r="19" s="382" customFormat="1" ht="19.95" customHeight="1" spans="1:8">
      <c r="A19" s="396">
        <v>13</v>
      </c>
      <c r="B19" s="397" t="s">
        <v>58</v>
      </c>
      <c r="C19" s="404">
        <v>1</v>
      </c>
      <c r="D19" s="404" t="s">
        <v>36</v>
      </c>
      <c r="E19" s="392"/>
      <c r="F19" s="393"/>
      <c r="G19" s="394"/>
      <c r="H19" s="395"/>
    </row>
    <row r="20" s="382" customFormat="1" ht="19.95" customHeight="1" spans="1:8">
      <c r="A20" s="396">
        <v>14</v>
      </c>
      <c r="B20" s="397" t="s">
        <v>59</v>
      </c>
      <c r="C20" s="404">
        <v>1</v>
      </c>
      <c r="D20" s="404" t="s">
        <v>36</v>
      </c>
      <c r="E20" s="392"/>
      <c r="F20" s="393"/>
      <c r="G20" s="394"/>
      <c r="H20" s="395"/>
    </row>
    <row r="21" s="382" customFormat="1" ht="19.95" customHeight="1" spans="1:8">
      <c r="A21" s="396">
        <v>15</v>
      </c>
      <c r="B21" s="397" t="s">
        <v>60</v>
      </c>
      <c r="C21" s="404">
        <v>1</v>
      </c>
      <c r="D21" s="404" t="s">
        <v>36</v>
      </c>
      <c r="E21" s="392"/>
      <c r="F21" s="393"/>
      <c r="G21" s="394"/>
      <c r="H21" s="395"/>
    </row>
    <row r="22" s="382" customFormat="1" ht="19.95" customHeight="1" spans="1:8">
      <c r="A22" s="391" t="s">
        <v>61</v>
      </c>
      <c r="B22" s="392" t="s">
        <v>62</v>
      </c>
      <c r="C22" s="392"/>
      <c r="D22" s="392"/>
      <c r="E22" s="392"/>
      <c r="F22" s="393"/>
      <c r="G22" s="394"/>
      <c r="H22" s="395"/>
    </row>
    <row r="23" s="3" customFormat="1" ht="30" customHeight="1" spans="1:8">
      <c r="A23" s="396">
        <v>2</v>
      </c>
      <c r="B23" s="397" t="s">
        <v>47</v>
      </c>
      <c r="C23" s="402">
        <v>2</v>
      </c>
      <c r="D23" s="396" t="s">
        <v>48</v>
      </c>
      <c r="E23" s="402"/>
      <c r="F23" s="398"/>
      <c r="G23" s="394" t="s">
        <v>51</v>
      </c>
      <c r="H23" s="403"/>
    </row>
    <row r="24" s="3" customFormat="1" ht="19.95" customHeight="1" spans="1:8">
      <c r="A24" s="396"/>
      <c r="B24" s="397" t="s">
        <v>63</v>
      </c>
      <c r="C24" s="402">
        <v>1</v>
      </c>
      <c r="D24" s="396" t="s">
        <v>36</v>
      </c>
      <c r="E24" s="402"/>
      <c r="F24" s="398"/>
      <c r="G24" s="394"/>
      <c r="H24" s="403"/>
    </row>
    <row r="25" s="3" customFormat="1" ht="19.95" customHeight="1" spans="1:8">
      <c r="A25" s="396"/>
      <c r="B25" s="397" t="s">
        <v>64</v>
      </c>
      <c r="C25" s="402">
        <v>1</v>
      </c>
      <c r="D25" s="396" t="s">
        <v>36</v>
      </c>
      <c r="E25" s="402"/>
      <c r="F25" s="398"/>
      <c r="G25" s="394"/>
      <c r="H25" s="403"/>
    </row>
    <row r="26" s="3" customFormat="1" ht="19.95" customHeight="1" spans="1:8">
      <c r="A26" s="396"/>
      <c r="B26" s="397" t="s">
        <v>65</v>
      </c>
      <c r="C26" s="402">
        <v>1</v>
      </c>
      <c r="D26" s="396" t="s">
        <v>36</v>
      </c>
      <c r="E26" s="402"/>
      <c r="F26" s="398"/>
      <c r="G26" s="394"/>
      <c r="H26" s="403"/>
    </row>
    <row r="27" s="3" customFormat="1" ht="19.95" customHeight="1" spans="1:8">
      <c r="A27" s="396">
        <v>3</v>
      </c>
      <c r="B27" s="397" t="s">
        <v>66</v>
      </c>
      <c r="C27" s="402">
        <v>2</v>
      </c>
      <c r="D27" s="396" t="s">
        <v>48</v>
      </c>
      <c r="E27" s="402"/>
      <c r="F27" s="398"/>
      <c r="G27" s="394" t="s">
        <v>29</v>
      </c>
      <c r="H27" s="403"/>
    </row>
    <row r="28" s="3" customFormat="1" ht="32" customHeight="1" spans="1:8">
      <c r="A28" s="396">
        <v>4</v>
      </c>
      <c r="B28" s="397" t="s">
        <v>67</v>
      </c>
      <c r="C28" s="402">
        <v>1</v>
      </c>
      <c r="D28" s="396" t="s">
        <v>36</v>
      </c>
      <c r="E28" s="402"/>
      <c r="F28" s="398"/>
      <c r="G28" s="394" t="s">
        <v>68</v>
      </c>
      <c r="H28" s="403"/>
    </row>
    <row r="29" s="3" customFormat="1" ht="28" customHeight="1" spans="1:8">
      <c r="A29" s="396">
        <v>5</v>
      </c>
      <c r="B29" s="397" t="s">
        <v>69</v>
      </c>
      <c r="C29" s="402">
        <v>3</v>
      </c>
      <c r="D29" s="396" t="s">
        <v>26</v>
      </c>
      <c r="E29" s="402"/>
      <c r="F29" s="398"/>
      <c r="G29" s="394" t="s">
        <v>70</v>
      </c>
      <c r="H29" s="403"/>
    </row>
    <row r="30" s="382" customFormat="1" ht="19.95" customHeight="1" spans="1:8">
      <c r="A30" s="391" t="s">
        <v>71</v>
      </c>
      <c r="B30" s="392" t="s">
        <v>72</v>
      </c>
      <c r="C30" s="392"/>
      <c r="D30" s="392"/>
      <c r="E30" s="392"/>
      <c r="F30" s="393"/>
      <c r="G30" s="394"/>
      <c r="H30" s="395"/>
    </row>
    <row r="31" s="383" customFormat="1" ht="19.95" customHeight="1" spans="1:8">
      <c r="A31" s="396">
        <v>1</v>
      </c>
      <c r="B31" s="397" t="s">
        <v>73</v>
      </c>
      <c r="C31" s="396">
        <v>2</v>
      </c>
      <c r="D31" s="396" t="s">
        <v>26</v>
      </c>
      <c r="E31" s="396"/>
      <c r="F31" s="398"/>
      <c r="G31" s="394"/>
      <c r="H31" s="399"/>
    </row>
    <row r="32" s="383" customFormat="1" ht="19.95" customHeight="1" spans="1:8">
      <c r="A32" s="396">
        <v>2</v>
      </c>
      <c r="B32" s="397" t="s">
        <v>74</v>
      </c>
      <c r="C32" s="396">
        <v>2</v>
      </c>
      <c r="D32" s="396" t="s">
        <v>36</v>
      </c>
      <c r="E32" s="396"/>
      <c r="F32" s="398"/>
      <c r="G32" s="394"/>
      <c r="H32" s="399"/>
    </row>
    <row r="33" s="382" customFormat="1" ht="19.95" customHeight="1" spans="1:8">
      <c r="A33" s="391" t="s">
        <v>75</v>
      </c>
      <c r="B33" s="392" t="s">
        <v>76</v>
      </c>
      <c r="C33" s="392"/>
      <c r="D33" s="392"/>
      <c r="E33" s="392"/>
      <c r="F33" s="393"/>
      <c r="G33" s="394"/>
      <c r="H33" s="395"/>
    </row>
    <row r="34" s="383" customFormat="1" ht="31.05" customHeight="1" spans="1:8">
      <c r="A34" s="396">
        <v>1</v>
      </c>
      <c r="B34" s="397" t="s">
        <v>69</v>
      </c>
      <c r="C34" s="402">
        <v>3</v>
      </c>
      <c r="D34" s="396" t="s">
        <v>26</v>
      </c>
      <c r="E34" s="402"/>
      <c r="F34" s="398"/>
      <c r="G34" s="394" t="s">
        <v>77</v>
      </c>
      <c r="H34" s="399"/>
    </row>
    <row r="35" s="3" customFormat="1" ht="19.95" customHeight="1" spans="1:8">
      <c r="A35" s="396">
        <v>2</v>
      </c>
      <c r="B35" s="397" t="s">
        <v>47</v>
      </c>
      <c r="C35" s="402">
        <v>1</v>
      </c>
      <c r="D35" s="396" t="s">
        <v>36</v>
      </c>
      <c r="E35" s="402"/>
      <c r="F35" s="398"/>
      <c r="G35" s="394" t="s">
        <v>78</v>
      </c>
      <c r="H35" s="403"/>
    </row>
    <row r="36" s="382" customFormat="1" ht="19.95" customHeight="1" spans="1:8">
      <c r="A36" s="391" t="s">
        <v>79</v>
      </c>
      <c r="B36" s="392" t="s">
        <v>80</v>
      </c>
      <c r="C36" s="392"/>
      <c r="D36" s="392"/>
      <c r="E36" s="392"/>
      <c r="F36" s="393"/>
      <c r="G36" s="394"/>
      <c r="H36" s="395"/>
    </row>
    <row r="37" s="383" customFormat="1" ht="19.95" customHeight="1" spans="1:8">
      <c r="A37" s="396">
        <v>1</v>
      </c>
      <c r="B37" s="397" t="s">
        <v>81</v>
      </c>
      <c r="C37" s="396">
        <v>2</v>
      </c>
      <c r="D37" s="396" t="s">
        <v>36</v>
      </c>
      <c r="E37" s="396"/>
      <c r="F37" s="398"/>
      <c r="G37" s="394"/>
      <c r="H37" s="399"/>
    </row>
    <row r="38" s="3" customFormat="1" ht="19.95" customHeight="1" spans="1:8">
      <c r="A38" s="396">
        <v>2</v>
      </c>
      <c r="B38" s="397" t="s">
        <v>47</v>
      </c>
      <c r="C38" s="402">
        <v>2</v>
      </c>
      <c r="D38" s="396" t="s">
        <v>36</v>
      </c>
      <c r="E38" s="402"/>
      <c r="F38" s="398"/>
      <c r="G38" s="394" t="s">
        <v>82</v>
      </c>
      <c r="H38" s="403"/>
    </row>
    <row r="39" s="3" customFormat="1" ht="19.95" customHeight="1" spans="1:8">
      <c r="A39" s="396">
        <v>3</v>
      </c>
      <c r="B39" s="397" t="s">
        <v>83</v>
      </c>
      <c r="C39" s="402">
        <v>1</v>
      </c>
      <c r="D39" s="396" t="s">
        <v>36</v>
      </c>
      <c r="E39" s="402"/>
      <c r="F39" s="398"/>
      <c r="G39" s="394" t="s">
        <v>84</v>
      </c>
      <c r="H39" s="403"/>
    </row>
    <row r="40" s="3" customFormat="1" ht="19.95" customHeight="1" spans="1:8">
      <c r="A40" s="396">
        <v>4</v>
      </c>
      <c r="B40" s="397" t="s">
        <v>85</v>
      </c>
      <c r="C40" s="402">
        <v>1</v>
      </c>
      <c r="D40" s="396" t="s">
        <v>48</v>
      </c>
      <c r="E40" s="402"/>
      <c r="F40" s="398"/>
      <c r="G40" s="394" t="s">
        <v>41</v>
      </c>
      <c r="H40" s="403"/>
    </row>
    <row r="41" s="3" customFormat="1" ht="19.95" customHeight="1" spans="1:8">
      <c r="A41" s="396" t="s">
        <v>86</v>
      </c>
      <c r="B41" s="405" t="s">
        <v>87</v>
      </c>
      <c r="C41" s="402"/>
      <c r="D41" s="396"/>
      <c r="E41" s="402"/>
      <c r="F41" s="398"/>
      <c r="G41" s="394"/>
      <c r="H41" s="403"/>
    </row>
    <row r="42" s="3" customFormat="1" ht="19.95" customHeight="1" spans="1:8">
      <c r="A42" s="396"/>
      <c r="B42" s="397" t="s">
        <v>88</v>
      </c>
      <c r="C42" s="402">
        <v>3</v>
      </c>
      <c r="D42" s="396" t="s">
        <v>36</v>
      </c>
      <c r="E42" s="402"/>
      <c r="F42" s="398"/>
      <c r="G42" s="394"/>
      <c r="H42" s="403"/>
    </row>
    <row r="43" s="3" customFormat="1" ht="19.95" customHeight="1" spans="1:8">
      <c r="A43" s="396"/>
      <c r="B43" s="397" t="s">
        <v>89</v>
      </c>
      <c r="C43" s="402">
        <v>3</v>
      </c>
      <c r="D43" s="396" t="s">
        <v>36</v>
      </c>
      <c r="E43" s="402"/>
      <c r="F43" s="398"/>
      <c r="G43" s="394"/>
      <c r="H43" s="403"/>
    </row>
    <row r="44" s="3" customFormat="1" ht="19.95" customHeight="1" spans="1:8">
      <c r="A44" s="396"/>
      <c r="B44" s="397" t="s">
        <v>90</v>
      </c>
      <c r="C44" s="402">
        <v>1</v>
      </c>
      <c r="D44" s="396" t="s">
        <v>36</v>
      </c>
      <c r="E44" s="402"/>
      <c r="F44" s="398"/>
      <c r="G44" s="394"/>
      <c r="H44" s="403"/>
    </row>
    <row r="45" s="123" customFormat="1" ht="19.95" customHeight="1" spans="1:8">
      <c r="A45" s="406" t="s">
        <v>91</v>
      </c>
      <c r="B45" s="407"/>
      <c r="C45" s="407"/>
      <c r="D45" s="407"/>
      <c r="E45" s="408"/>
      <c r="F45" s="409"/>
      <c r="G45" s="410"/>
      <c r="H45" s="411"/>
    </row>
    <row r="46" spans="8:8">
      <c r="H46" s="412"/>
    </row>
    <row r="47" spans="7:9">
      <c r="G47" s="412"/>
      <c r="H47" s="412"/>
      <c r="I47" s="412"/>
    </row>
    <row r="48" spans="7:9">
      <c r="G48" s="412"/>
      <c r="H48" s="412"/>
      <c r="I48" s="412"/>
    </row>
    <row r="49" spans="7:9">
      <c r="G49" s="412"/>
      <c r="H49" s="412"/>
      <c r="I49" s="412"/>
    </row>
    <row r="50" spans="7:9">
      <c r="G50" s="412"/>
      <c r="H50" s="412"/>
      <c r="I50" s="412"/>
    </row>
    <row r="51" spans="7:9">
      <c r="G51" s="412"/>
      <c r="H51" s="412"/>
      <c r="I51" s="412"/>
    </row>
    <row r="52" spans="7:9">
      <c r="G52" s="412"/>
      <c r="H52" s="412"/>
      <c r="I52" s="412"/>
    </row>
    <row r="53" spans="7:9">
      <c r="G53" s="412"/>
      <c r="H53" s="412"/>
      <c r="I53" s="412"/>
    </row>
    <row r="54" spans="8:8">
      <c r="H54" s="413"/>
    </row>
  </sheetData>
  <mergeCells count="2">
    <mergeCell ref="A1:H1"/>
    <mergeCell ref="A45:E45"/>
  </mergeCells>
  <pageMargins left="0.590277777777778" right="0.550694444444444" top="0.472222222222222" bottom="0.590277777777778" header="0.354166666666667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217"/>
  <sheetViews>
    <sheetView zoomScale="115" zoomScaleNormal="115" topLeftCell="A19" workbookViewId="0">
      <selection activeCell="A1" sqref="A1"/>
    </sheetView>
  </sheetViews>
  <sheetFormatPr defaultColWidth="8" defaultRowHeight="14.25"/>
  <cols>
    <col min="1" max="1" width="4.1" customWidth="1"/>
    <col min="2" max="2" width="24.9" customWidth="1"/>
    <col min="3" max="3" width="6.5" customWidth="1"/>
    <col min="4" max="4" width="7.7" hidden="1" customWidth="1"/>
    <col min="5" max="5" width="5.9" customWidth="1"/>
    <col min="6" max="6" width="7.9" customWidth="1"/>
    <col min="7" max="7" width="8.2" customWidth="1"/>
    <col min="8" max="8" width="8" customWidth="1"/>
    <col min="9" max="9" width="70.9" customWidth="1"/>
    <col min="10" max="10" width="8.7" customWidth="1"/>
    <col min="11" max="11" width="3.5" customWidth="1"/>
    <col min="12" max="92" width="3.5" hidden="1" customWidth="1"/>
    <col min="93" max="93" width="4.5" hidden="1" customWidth="1"/>
    <col min="94" max="94" width="3.6" hidden="1" customWidth="1"/>
    <col min="95" max="95" width="3.2" hidden="1" customWidth="1"/>
    <col min="96" max="96" width="4.5" hidden="1" customWidth="1"/>
    <col min="97" max="97" width="5.4" hidden="1" customWidth="1"/>
    <col min="98" max="98" width="4.2" hidden="1" customWidth="1"/>
    <col min="99" max="114" width="4.5" hidden="1" customWidth="1"/>
    <col min="115" max="139" width="2.6" hidden="1" customWidth="1"/>
    <col min="140" max="149" width="9" hidden="1" customWidth="1"/>
    <col min="150" max="257" width="9" customWidth="1"/>
  </cols>
  <sheetData>
    <row r="1" s="111" customFormat="1" customHeight="1" spans="1:9">
      <c r="A1" s="125"/>
      <c r="B1" s="126">
        <f ca="1">NOW()</f>
        <v>45537.3403935185</v>
      </c>
      <c r="C1" s="127" t="s">
        <v>92</v>
      </c>
      <c r="D1" s="127"/>
      <c r="E1" s="127"/>
      <c r="F1" s="127"/>
      <c r="G1" s="127"/>
      <c r="H1" s="127"/>
      <c r="I1" s="127"/>
    </row>
    <row r="2" s="112" customFormat="1" ht="11.1" customHeight="1" spans="1:130">
      <c r="A2" s="128" t="s">
        <v>93</v>
      </c>
      <c r="B2" s="10" t="s">
        <v>94</v>
      </c>
      <c r="C2" s="129" t="s">
        <v>95</v>
      </c>
      <c r="D2" s="130" t="s">
        <v>96</v>
      </c>
      <c r="E2" s="10" t="s">
        <v>97</v>
      </c>
      <c r="F2" s="131" t="s">
        <v>98</v>
      </c>
      <c r="G2" s="132" t="s">
        <v>99</v>
      </c>
      <c r="H2" s="129" t="s">
        <v>100</v>
      </c>
      <c r="I2" s="217" t="s">
        <v>101</v>
      </c>
      <c r="J2" s="218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37" t="s">
        <v>102</v>
      </c>
      <c r="CP2" s="237" t="s">
        <v>103</v>
      </c>
      <c r="CQ2" s="237" t="s">
        <v>104</v>
      </c>
      <c r="CR2" s="237" t="s">
        <v>105</v>
      </c>
      <c r="CS2" s="237" t="s">
        <v>106</v>
      </c>
      <c r="CT2" s="237" t="s">
        <v>107</v>
      </c>
      <c r="CU2" s="237" t="s">
        <v>108</v>
      </c>
      <c r="CV2" s="237" t="s">
        <v>109</v>
      </c>
      <c r="CW2" s="237" t="s">
        <v>110</v>
      </c>
      <c r="CX2" s="237" t="s">
        <v>111</v>
      </c>
      <c r="CY2" s="237" t="s">
        <v>112</v>
      </c>
      <c r="CZ2" s="237" t="s">
        <v>113</v>
      </c>
      <c r="DA2" s="238"/>
      <c r="DB2" s="238"/>
      <c r="DC2" s="238"/>
      <c r="DD2" s="237" t="s">
        <v>114</v>
      </c>
      <c r="DE2" s="237" t="s">
        <v>115</v>
      </c>
      <c r="DF2" s="237" t="s">
        <v>116</v>
      </c>
      <c r="DG2" s="237" t="s">
        <v>117</v>
      </c>
      <c r="DH2" s="238"/>
      <c r="DI2" s="237"/>
      <c r="DJ2" s="237"/>
      <c r="DK2" s="237"/>
      <c r="DL2" s="237"/>
      <c r="DM2" s="237"/>
      <c r="DN2" s="237"/>
      <c r="DO2" s="239" t="b">
        <f>IF(H2="舒适",DP2,IF(H2="精英",DQ2,IF(H2="尊享",DR2,IF(H2="旗舰",DS2))))</f>
        <v>0</v>
      </c>
      <c r="DP2" s="237">
        <f>688-416-(128-32)-10</f>
        <v>166</v>
      </c>
      <c r="DQ2" s="237">
        <f>788-416-135+31+3</f>
        <v>271</v>
      </c>
      <c r="DR2" s="237">
        <f>888-416-146+28+4</f>
        <v>358</v>
      </c>
      <c r="DS2" s="237">
        <f>1088-416-159+22+5</f>
        <v>540</v>
      </c>
      <c r="DT2" s="237" t="s">
        <v>118</v>
      </c>
      <c r="DU2" s="237" t="s">
        <v>119</v>
      </c>
      <c r="DV2" s="237" t="s">
        <v>120</v>
      </c>
      <c r="DW2" s="237" t="s">
        <v>121</v>
      </c>
      <c r="DX2" s="237" t="s">
        <v>122</v>
      </c>
      <c r="DY2" s="237" t="s">
        <v>123</v>
      </c>
      <c r="DZ2" s="237" t="s">
        <v>124</v>
      </c>
    </row>
    <row r="3" s="112" customFormat="1" ht="11.1" customHeight="1" spans="1:130">
      <c r="A3" s="133"/>
      <c r="B3" s="17" t="s">
        <v>125</v>
      </c>
      <c r="C3" s="134">
        <v>80</v>
      </c>
      <c r="D3" s="135"/>
      <c r="E3" s="17" t="s">
        <v>126</v>
      </c>
      <c r="F3" s="134" t="s">
        <v>119</v>
      </c>
      <c r="G3" s="136" t="s">
        <v>127</v>
      </c>
      <c r="H3" s="137" t="s">
        <v>128</v>
      </c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37" t="s">
        <v>128</v>
      </c>
      <c r="CP3" s="237" t="s">
        <v>129</v>
      </c>
      <c r="CQ3" s="237" t="s">
        <v>130</v>
      </c>
      <c r="CR3" s="237"/>
      <c r="CS3" s="237" t="s">
        <v>131</v>
      </c>
      <c r="CT3" s="237" t="s">
        <v>132</v>
      </c>
      <c r="CU3" s="237" t="s">
        <v>133</v>
      </c>
      <c r="CV3" s="237" t="s">
        <v>134</v>
      </c>
      <c r="CW3" s="237" t="s">
        <v>135</v>
      </c>
      <c r="CX3" s="237" t="s">
        <v>136</v>
      </c>
      <c r="CY3" s="237" t="s">
        <v>137</v>
      </c>
      <c r="CZ3" s="237" t="s">
        <v>138</v>
      </c>
      <c r="DA3" s="237" t="s">
        <v>139</v>
      </c>
      <c r="DB3" s="237" t="s">
        <v>140</v>
      </c>
      <c r="DC3" s="237" t="s">
        <v>141</v>
      </c>
      <c r="DD3" s="112" t="s">
        <v>142</v>
      </c>
      <c r="DF3" s="237"/>
      <c r="DG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8"/>
      <c r="DW3" s="238"/>
      <c r="DX3" s="238"/>
      <c r="DY3" s="238"/>
      <c r="DZ3" s="238"/>
    </row>
    <row r="4" s="112" customFormat="1" ht="11.1" customHeight="1" spans="1:130">
      <c r="A4" s="138"/>
      <c r="B4" s="20" t="s">
        <v>143</v>
      </c>
      <c r="C4" s="139" t="s">
        <v>144</v>
      </c>
      <c r="D4" s="140"/>
      <c r="E4" s="20" t="s">
        <v>145</v>
      </c>
      <c r="F4" s="141" t="s">
        <v>146</v>
      </c>
      <c r="G4" s="20" t="s">
        <v>147</v>
      </c>
      <c r="H4" s="142" t="s">
        <v>131</v>
      </c>
      <c r="I4" s="221"/>
      <c r="J4" s="218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37">
        <v>1</v>
      </c>
      <c r="CP4" s="237">
        <v>2</v>
      </c>
      <c r="CQ4" s="237">
        <v>3</v>
      </c>
      <c r="CR4" s="237">
        <v>4</v>
      </c>
      <c r="CS4" s="237">
        <v>5</v>
      </c>
      <c r="CT4" s="237">
        <v>6</v>
      </c>
      <c r="CU4" s="237">
        <v>7</v>
      </c>
      <c r="CV4" s="237">
        <v>8</v>
      </c>
      <c r="CW4" s="237">
        <v>9</v>
      </c>
      <c r="CX4" s="237">
        <v>10</v>
      </c>
      <c r="CY4" s="237">
        <v>11</v>
      </c>
      <c r="CZ4" s="237">
        <v>12</v>
      </c>
      <c r="DA4" s="237">
        <v>13</v>
      </c>
      <c r="DB4" s="237">
        <v>14</v>
      </c>
      <c r="DC4" s="237">
        <v>15</v>
      </c>
      <c r="DD4" s="237">
        <v>16</v>
      </c>
      <c r="DE4" s="237">
        <v>17</v>
      </c>
      <c r="DF4" s="237">
        <v>18</v>
      </c>
      <c r="DG4" s="237">
        <v>19</v>
      </c>
      <c r="DH4" s="237">
        <v>20</v>
      </c>
      <c r="DI4" s="237">
        <v>21</v>
      </c>
      <c r="DJ4" s="237">
        <v>22</v>
      </c>
      <c r="DK4" s="237">
        <v>23</v>
      </c>
      <c r="DL4" s="237">
        <v>24</v>
      </c>
      <c r="DM4" s="237">
        <v>25</v>
      </c>
      <c r="DN4" s="237"/>
      <c r="DO4" s="237"/>
      <c r="DP4" s="237"/>
      <c r="DQ4" s="237"/>
      <c r="DR4" s="237"/>
      <c r="DS4" s="237"/>
      <c r="DT4" s="237"/>
      <c r="DU4" s="237"/>
      <c r="DV4" s="238"/>
      <c r="DW4" s="238"/>
      <c r="DX4" s="238"/>
      <c r="DY4" s="238"/>
      <c r="DZ4" s="238"/>
    </row>
    <row r="5" s="113" customFormat="1" ht="3.75" customHeight="1" spans="1:9">
      <c r="A5" s="143"/>
      <c r="B5" s="144"/>
      <c r="C5" s="145"/>
      <c r="D5" s="146"/>
      <c r="E5" s="147"/>
      <c r="F5" s="148"/>
      <c r="G5" s="149"/>
      <c r="H5" s="150"/>
      <c r="I5" s="222"/>
    </row>
    <row r="6" ht="15.9" customHeight="1" spans="1:9">
      <c r="A6" s="151" t="s">
        <v>148</v>
      </c>
      <c r="B6" s="152"/>
      <c r="C6" s="153"/>
      <c r="D6" s="154"/>
      <c r="E6" s="152"/>
      <c r="F6" s="155"/>
      <c r="G6" s="156"/>
      <c r="H6" s="152"/>
      <c r="I6" s="223"/>
    </row>
    <row r="7" s="113" customFormat="1" ht="16.5" customHeight="1" spans="1:9">
      <c r="A7" s="157" t="s">
        <v>15</v>
      </c>
      <c r="B7" s="158" t="s">
        <v>16</v>
      </c>
      <c r="C7" s="159" t="s">
        <v>17</v>
      </c>
      <c r="D7" s="160" t="s">
        <v>96</v>
      </c>
      <c r="E7" s="158" t="s">
        <v>18</v>
      </c>
      <c r="F7" s="161" t="s">
        <v>19</v>
      </c>
      <c r="G7" s="162" t="s">
        <v>149</v>
      </c>
      <c r="H7" s="163" t="s">
        <v>150</v>
      </c>
      <c r="I7" s="224" t="s">
        <v>22</v>
      </c>
    </row>
    <row r="8" ht="15" customHeight="1" spans="1:9">
      <c r="A8" s="164">
        <v>1</v>
      </c>
      <c r="B8" s="58" t="s">
        <v>151</v>
      </c>
      <c r="C8" s="59">
        <v>1</v>
      </c>
      <c r="D8" s="165" t="e">
        <f>ROUND(C3*0.3+(#REF!+#REF!)*1*1.2*0.6+(C25+C26+#REF!+C41+C35)*0.09+C68*0.15,0.5)/10</f>
        <v>#REF!</v>
      </c>
      <c r="E8" s="166" t="s">
        <v>152</v>
      </c>
      <c r="F8" s="167">
        <v>700</v>
      </c>
      <c r="G8" s="63">
        <f>C8*F8</f>
        <v>700</v>
      </c>
      <c r="H8" s="168"/>
      <c r="I8" s="225" t="s">
        <v>153</v>
      </c>
    </row>
    <row r="9" ht="15" customHeight="1" spans="1:9">
      <c r="A9" s="164">
        <v>2</v>
      </c>
      <c r="B9" s="58" t="str">
        <f>IF(E9="T","散装沙（代购材料）","袋装沙（代购材料）")</f>
        <v>袋装沙（代购材料）</v>
      </c>
      <c r="C9" s="59">
        <v>1</v>
      </c>
      <c r="D9" s="169" t="e">
        <f>IF(E9="T",ROUND((C3*1.25+(#REF!+#REF!)*0.12*6+(C35+C36+C37+C38+C41)*0.4),0.5)/10,ROUND(C3*1.25+(#REF!+#REF!)*1*0.12*6+(C35+C36+C37+C38+C41)*0.4,0.5)*2)</f>
        <v>#REF!</v>
      </c>
      <c r="E9" s="168" t="s">
        <v>154</v>
      </c>
      <c r="F9" s="167">
        <f>IF(E9="袋",12,IF(E9="T",180,"单位错误"))</f>
        <v>12</v>
      </c>
      <c r="G9" s="63">
        <f>C9*F9</f>
        <v>12</v>
      </c>
      <c r="H9" s="168"/>
      <c r="I9" s="101" t="s">
        <v>155</v>
      </c>
    </row>
    <row r="10" ht="15" customHeight="1" spans="1:9">
      <c r="A10" s="164">
        <v>3</v>
      </c>
      <c r="B10" s="58" t="s">
        <v>156</v>
      </c>
      <c r="C10" s="59">
        <v>1</v>
      </c>
      <c r="D10" s="170">
        <f>ROUND((C36*32+C37*64+C38*128+C35*0.5*128)/100,0.5)*100+100</f>
        <v>400</v>
      </c>
      <c r="E10" s="166" t="s">
        <v>157</v>
      </c>
      <c r="F10" s="167">
        <v>0.52</v>
      </c>
      <c r="G10" s="63">
        <f>C10*F10</f>
        <v>0.52</v>
      </c>
      <c r="H10" s="168" t="s">
        <v>158</v>
      </c>
      <c r="I10" s="101" t="s">
        <v>159</v>
      </c>
    </row>
    <row r="11" ht="45" customHeight="1" spans="1:9">
      <c r="A11" s="164">
        <v>4</v>
      </c>
      <c r="B11" s="171" t="s">
        <v>160</v>
      </c>
      <c r="C11" s="59">
        <v>1</v>
      </c>
      <c r="D11" s="172" t="e">
        <f>IF(E9="T",(C8+C9+C10/300)*(25+(F4+CEILING((H3-5)/15,0.5))*25)+C3*7,(C8+C9/20+C10/300)*(25+(F4+CEILING((H3-5)/15,0.5))*25)+C3*7)</f>
        <v>#VALUE!</v>
      </c>
      <c r="E11" s="166" t="s">
        <v>161</v>
      </c>
      <c r="F11" s="62">
        <v>0</v>
      </c>
      <c r="G11" s="63">
        <f>C11*F11</f>
        <v>0</v>
      </c>
      <c r="H11" s="168"/>
      <c r="I11" s="100" t="s">
        <v>162</v>
      </c>
    </row>
    <row r="12" ht="22.5" customHeight="1" spans="1:96">
      <c r="A12" s="164">
        <v>5</v>
      </c>
      <c r="B12" s="58" t="s">
        <v>163</v>
      </c>
      <c r="C12" s="59">
        <v>1</v>
      </c>
      <c r="D12" s="173">
        <f>C3</f>
        <v>80</v>
      </c>
      <c r="E12" s="166" t="s">
        <v>164</v>
      </c>
      <c r="F12" s="62">
        <v>18.8</v>
      </c>
      <c r="G12" s="63">
        <f>C12*F12</f>
        <v>18.8</v>
      </c>
      <c r="H12" s="174" t="s">
        <v>165</v>
      </c>
      <c r="I12" s="101" t="s">
        <v>166</v>
      </c>
      <c r="CO12" s="3" t="s">
        <v>165</v>
      </c>
      <c r="CP12" s="3" t="s">
        <v>167</v>
      </c>
      <c r="CQ12" s="3">
        <v>13.8</v>
      </c>
      <c r="CR12" s="3">
        <v>20.7</v>
      </c>
    </row>
    <row r="13" ht="39" customHeight="1" spans="1:94">
      <c r="A13" s="164">
        <v>6</v>
      </c>
      <c r="B13" s="58" t="s">
        <v>168</v>
      </c>
      <c r="C13" s="59">
        <v>1</v>
      </c>
      <c r="D13" s="172">
        <f>IF(H13=CO13,C13*100+180,IF(H13=CP13,C13*150+270))</f>
        <v>280</v>
      </c>
      <c r="E13" s="175" t="s">
        <v>169</v>
      </c>
      <c r="F13" s="176" t="s">
        <v>170</v>
      </c>
      <c r="G13" s="177">
        <v>0</v>
      </c>
      <c r="H13" s="174" t="s">
        <v>165</v>
      </c>
      <c r="I13" s="226" t="s">
        <v>171</v>
      </c>
      <c r="CO13" s="3" t="s">
        <v>165</v>
      </c>
      <c r="CP13" s="3" t="s">
        <v>167</v>
      </c>
    </row>
    <row r="14" ht="15" customHeight="1" spans="1:9">
      <c r="A14" s="164">
        <v>7</v>
      </c>
      <c r="B14" s="58" t="s">
        <v>172</v>
      </c>
      <c r="C14" s="59">
        <v>1</v>
      </c>
      <c r="D14" s="178"/>
      <c r="E14" s="166" t="s">
        <v>26</v>
      </c>
      <c r="F14" s="167">
        <v>10</v>
      </c>
      <c r="G14" s="63">
        <f t="shared" ref="G14:G42" si="0">C14*F14</f>
        <v>10</v>
      </c>
      <c r="H14" s="168" t="s">
        <v>173</v>
      </c>
      <c r="I14" s="101" t="s">
        <v>174</v>
      </c>
    </row>
    <row r="15" s="114" customFormat="1" ht="17.25" customHeight="1" spans="1:9">
      <c r="A15" s="164">
        <v>8</v>
      </c>
      <c r="B15" s="179" t="s">
        <v>175</v>
      </c>
      <c r="C15" s="59">
        <v>1</v>
      </c>
      <c r="D15" s="180"/>
      <c r="E15" s="181" t="s">
        <v>26</v>
      </c>
      <c r="F15" s="181">
        <v>50</v>
      </c>
      <c r="G15" s="182">
        <f t="shared" si="0"/>
        <v>50</v>
      </c>
      <c r="H15" s="183" t="s">
        <v>176</v>
      </c>
      <c r="I15" s="225" t="s">
        <v>177</v>
      </c>
    </row>
    <row r="16" ht="15" customHeight="1" spans="1:9">
      <c r="A16" s="164">
        <v>9</v>
      </c>
      <c r="B16" s="184" t="s">
        <v>178</v>
      </c>
      <c r="C16" s="59">
        <v>1</v>
      </c>
      <c r="D16" s="185">
        <f>IF(C3&lt;80,ROUND(80/1.4,0.5),ROUND(C3/1.4,0.5))</f>
        <v>57</v>
      </c>
      <c r="E16" s="166" t="s">
        <v>26</v>
      </c>
      <c r="F16" s="167">
        <v>6</v>
      </c>
      <c r="G16" s="63">
        <f t="shared" si="0"/>
        <v>6</v>
      </c>
      <c r="H16" s="168" t="s">
        <v>173</v>
      </c>
      <c r="I16" s="101" t="s">
        <v>179</v>
      </c>
    </row>
    <row r="17" ht="15" customHeight="1" spans="1:9">
      <c r="A17" s="164">
        <v>10</v>
      </c>
      <c r="B17" s="58" t="s">
        <v>180</v>
      </c>
      <c r="C17" s="59">
        <v>1</v>
      </c>
      <c r="D17" s="178"/>
      <c r="E17" s="166" t="s">
        <v>26</v>
      </c>
      <c r="F17" s="62">
        <v>40</v>
      </c>
      <c r="G17" s="63">
        <f t="shared" si="0"/>
        <v>40</v>
      </c>
      <c r="H17" s="168" t="s">
        <v>173</v>
      </c>
      <c r="I17" s="101" t="s">
        <v>181</v>
      </c>
    </row>
    <row r="18" ht="15" customHeight="1" spans="1:9">
      <c r="A18" s="164">
        <v>11</v>
      </c>
      <c r="B18" s="58" t="s">
        <v>182</v>
      </c>
      <c r="C18" s="59">
        <v>1</v>
      </c>
      <c r="D18" s="178"/>
      <c r="E18" s="166" t="s">
        <v>183</v>
      </c>
      <c r="F18" s="62">
        <v>30</v>
      </c>
      <c r="G18" s="63">
        <f t="shared" si="0"/>
        <v>30</v>
      </c>
      <c r="H18" s="168" t="s">
        <v>184</v>
      </c>
      <c r="I18" s="227" t="s">
        <v>185</v>
      </c>
    </row>
    <row r="19" ht="15" customHeight="1" spans="1:9">
      <c r="A19" s="164">
        <v>12</v>
      </c>
      <c r="B19" s="58" t="s">
        <v>186</v>
      </c>
      <c r="C19" s="59">
        <v>1</v>
      </c>
      <c r="D19" s="186"/>
      <c r="E19" s="166" t="s">
        <v>187</v>
      </c>
      <c r="F19" s="62">
        <v>8</v>
      </c>
      <c r="G19" s="63">
        <f t="shared" si="0"/>
        <v>8</v>
      </c>
      <c r="H19" s="168"/>
      <c r="I19" s="101" t="s">
        <v>188</v>
      </c>
    </row>
    <row r="20" ht="15" customHeight="1" spans="1:9">
      <c r="A20" s="164">
        <v>13</v>
      </c>
      <c r="B20" s="58" t="s">
        <v>189</v>
      </c>
      <c r="C20" s="59">
        <v>1</v>
      </c>
      <c r="D20" s="186"/>
      <c r="E20" s="166" t="s">
        <v>187</v>
      </c>
      <c r="F20" s="167">
        <v>35</v>
      </c>
      <c r="G20" s="63">
        <f t="shared" si="0"/>
        <v>35</v>
      </c>
      <c r="H20" s="168"/>
      <c r="I20" s="101" t="s">
        <v>190</v>
      </c>
    </row>
    <row r="21" ht="15" customHeight="1" spans="1:9">
      <c r="A21" s="164">
        <v>14</v>
      </c>
      <c r="B21" s="187" t="s">
        <v>191</v>
      </c>
      <c r="C21" s="59">
        <v>1</v>
      </c>
      <c r="D21" s="186"/>
      <c r="E21" s="166" t="s">
        <v>192</v>
      </c>
      <c r="F21" s="167">
        <v>20</v>
      </c>
      <c r="G21" s="63">
        <f t="shared" si="0"/>
        <v>20</v>
      </c>
      <c r="H21" s="168" t="s">
        <v>173</v>
      </c>
      <c r="I21" s="101" t="s">
        <v>193</v>
      </c>
    </row>
    <row r="22" ht="15" customHeight="1" spans="1:9">
      <c r="A22" s="164">
        <v>15</v>
      </c>
      <c r="B22" s="58" t="s">
        <v>194</v>
      </c>
      <c r="C22" s="59">
        <v>1</v>
      </c>
      <c r="D22" s="186"/>
      <c r="E22" s="166" t="s">
        <v>195</v>
      </c>
      <c r="F22" s="167">
        <v>30</v>
      </c>
      <c r="G22" s="63">
        <f t="shared" si="0"/>
        <v>30</v>
      </c>
      <c r="H22" s="168"/>
      <c r="I22" s="101" t="s">
        <v>196</v>
      </c>
    </row>
    <row r="23" ht="15" customHeight="1" spans="1:9">
      <c r="A23" s="164">
        <v>16</v>
      </c>
      <c r="B23" s="58" t="s">
        <v>197</v>
      </c>
      <c r="C23" s="59">
        <v>1</v>
      </c>
      <c r="D23" s="186"/>
      <c r="E23" s="166" t="s">
        <v>164</v>
      </c>
      <c r="F23" s="167">
        <v>10</v>
      </c>
      <c r="G23" s="63">
        <f t="shared" si="0"/>
        <v>10</v>
      </c>
      <c r="H23" s="168"/>
      <c r="I23" s="101"/>
    </row>
    <row r="24" ht="15" customHeight="1" spans="1:9">
      <c r="A24" s="164">
        <v>17</v>
      </c>
      <c r="B24" s="58" t="s">
        <v>198</v>
      </c>
      <c r="C24" s="59">
        <v>1</v>
      </c>
      <c r="D24" s="186"/>
      <c r="E24" s="166" t="s">
        <v>164</v>
      </c>
      <c r="F24" s="62">
        <v>12</v>
      </c>
      <c r="G24" s="63">
        <f t="shared" si="0"/>
        <v>12</v>
      </c>
      <c r="H24" s="174" t="s">
        <v>199</v>
      </c>
      <c r="I24" s="101" t="s">
        <v>200</v>
      </c>
    </row>
    <row r="25" ht="15" customHeight="1" spans="1:9">
      <c r="A25" s="164">
        <v>18</v>
      </c>
      <c r="B25" s="58" t="s">
        <v>201</v>
      </c>
      <c r="C25" s="59">
        <v>1</v>
      </c>
      <c r="D25" s="186"/>
      <c r="E25" s="166" t="s">
        <v>164</v>
      </c>
      <c r="F25" s="167">
        <v>12</v>
      </c>
      <c r="G25" s="63">
        <f t="shared" si="0"/>
        <v>12</v>
      </c>
      <c r="H25" s="168"/>
      <c r="I25" s="101" t="s">
        <v>202</v>
      </c>
    </row>
    <row r="26" ht="15" customHeight="1" spans="1:9">
      <c r="A26" s="164">
        <v>19</v>
      </c>
      <c r="B26" s="58" t="s">
        <v>203</v>
      </c>
      <c r="C26" s="59">
        <v>1</v>
      </c>
      <c r="D26" s="186"/>
      <c r="E26" s="166" t="s">
        <v>164</v>
      </c>
      <c r="F26" s="167">
        <v>10</v>
      </c>
      <c r="G26" s="63">
        <f t="shared" si="0"/>
        <v>10</v>
      </c>
      <c r="H26" s="168"/>
      <c r="I26" s="101"/>
    </row>
    <row r="27" ht="15" customHeight="1" spans="1:9">
      <c r="A27" s="164">
        <v>20</v>
      </c>
      <c r="B27" s="171" t="s">
        <v>204</v>
      </c>
      <c r="C27" s="59">
        <v>1</v>
      </c>
      <c r="D27" s="186"/>
      <c r="E27" s="166" t="s">
        <v>164</v>
      </c>
      <c r="F27" s="62">
        <v>380</v>
      </c>
      <c r="G27" s="63">
        <f t="shared" si="0"/>
        <v>380</v>
      </c>
      <c r="H27" s="168"/>
      <c r="I27" s="101" t="s">
        <v>205</v>
      </c>
    </row>
    <row r="28" ht="15" customHeight="1" spans="1:9">
      <c r="A28" s="164">
        <v>21</v>
      </c>
      <c r="B28" s="171" t="s">
        <v>206</v>
      </c>
      <c r="C28" s="59">
        <v>1</v>
      </c>
      <c r="D28" s="186"/>
      <c r="E28" s="166" t="s">
        <v>207</v>
      </c>
      <c r="F28" s="167">
        <v>160</v>
      </c>
      <c r="G28" s="63">
        <f t="shared" si="0"/>
        <v>160</v>
      </c>
      <c r="H28" s="188" t="s">
        <v>208</v>
      </c>
      <c r="I28" s="101" t="s">
        <v>209</v>
      </c>
    </row>
    <row r="29" ht="15" customHeight="1" spans="1:9">
      <c r="A29" s="164">
        <v>22</v>
      </c>
      <c r="B29" s="171" t="s">
        <v>210</v>
      </c>
      <c r="C29" s="189">
        <v>1</v>
      </c>
      <c r="D29" s="190"/>
      <c r="E29" s="67" t="s">
        <v>187</v>
      </c>
      <c r="F29" s="191">
        <v>360</v>
      </c>
      <c r="G29" s="192">
        <f t="shared" si="0"/>
        <v>360</v>
      </c>
      <c r="H29" s="188" t="s">
        <v>208</v>
      </c>
      <c r="I29" s="101"/>
    </row>
    <row r="30" ht="15" customHeight="1" spans="1:9">
      <c r="A30" s="164">
        <v>23</v>
      </c>
      <c r="B30" s="193" t="s">
        <v>211</v>
      </c>
      <c r="C30" s="189">
        <v>1</v>
      </c>
      <c r="D30" s="190"/>
      <c r="E30" s="67" t="s">
        <v>187</v>
      </c>
      <c r="F30" s="191">
        <v>360</v>
      </c>
      <c r="G30" s="192">
        <f t="shared" si="0"/>
        <v>360</v>
      </c>
      <c r="H30" s="194" t="s">
        <v>212</v>
      </c>
      <c r="I30" s="228" t="s">
        <v>213</v>
      </c>
    </row>
    <row r="31" ht="15" customHeight="1" spans="1:9">
      <c r="A31" s="164">
        <v>24</v>
      </c>
      <c r="B31" s="58" t="s">
        <v>214</v>
      </c>
      <c r="C31" s="59">
        <v>1</v>
      </c>
      <c r="D31" s="178"/>
      <c r="E31" s="166" t="s">
        <v>164</v>
      </c>
      <c r="F31" s="62">
        <v>55</v>
      </c>
      <c r="G31" s="63">
        <f t="shared" si="0"/>
        <v>55</v>
      </c>
      <c r="H31" s="168" t="s">
        <v>173</v>
      </c>
      <c r="I31" s="101" t="s">
        <v>215</v>
      </c>
    </row>
    <row r="32" ht="15" customHeight="1" spans="1:9">
      <c r="A32" s="164">
        <v>25</v>
      </c>
      <c r="B32" s="58" t="s">
        <v>216</v>
      </c>
      <c r="C32" s="59">
        <v>1</v>
      </c>
      <c r="D32" s="178"/>
      <c r="E32" s="166" t="s">
        <v>164</v>
      </c>
      <c r="F32" s="62">
        <v>65</v>
      </c>
      <c r="G32" s="63">
        <f t="shared" si="0"/>
        <v>65</v>
      </c>
      <c r="H32" s="168" t="s">
        <v>173</v>
      </c>
      <c r="I32" s="101" t="s">
        <v>217</v>
      </c>
    </row>
    <row r="33" ht="15" customHeight="1" spans="1:9">
      <c r="A33" s="164">
        <v>26</v>
      </c>
      <c r="B33" s="58" t="s">
        <v>218</v>
      </c>
      <c r="C33" s="59">
        <v>1</v>
      </c>
      <c r="D33" s="178"/>
      <c r="E33" s="166" t="s">
        <v>164</v>
      </c>
      <c r="F33" s="62">
        <v>120</v>
      </c>
      <c r="G33" s="63">
        <f t="shared" si="0"/>
        <v>120</v>
      </c>
      <c r="H33" s="168" t="s">
        <v>173</v>
      </c>
      <c r="I33" s="101" t="s">
        <v>219</v>
      </c>
    </row>
    <row r="34" s="111" customFormat="1" customHeight="1" spans="1:79">
      <c r="A34" s="164">
        <v>27</v>
      </c>
      <c r="B34" s="195" t="s">
        <v>220</v>
      </c>
      <c r="C34" s="59">
        <v>1</v>
      </c>
      <c r="D34" s="196"/>
      <c r="E34" s="197" t="s">
        <v>187</v>
      </c>
      <c r="F34" s="62">
        <v>120</v>
      </c>
      <c r="G34" s="198">
        <f t="shared" si="0"/>
        <v>120</v>
      </c>
      <c r="H34" s="188" t="s">
        <v>208</v>
      </c>
      <c r="I34" s="229" t="s">
        <v>221</v>
      </c>
      <c r="J34" s="230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</row>
    <row r="35" ht="15" customHeight="1" spans="1:9">
      <c r="A35" s="164">
        <v>28</v>
      </c>
      <c r="B35" s="58" t="s">
        <v>222</v>
      </c>
      <c r="C35" s="59">
        <v>1</v>
      </c>
      <c r="D35" s="178"/>
      <c r="E35" s="166" t="s">
        <v>223</v>
      </c>
      <c r="F35" s="62">
        <v>150</v>
      </c>
      <c r="G35" s="63">
        <f t="shared" si="0"/>
        <v>150</v>
      </c>
      <c r="H35" s="168" t="s">
        <v>224</v>
      </c>
      <c r="I35" s="101" t="s">
        <v>225</v>
      </c>
    </row>
    <row r="36" ht="15" customHeight="1" spans="1:9">
      <c r="A36" s="164">
        <v>29</v>
      </c>
      <c r="B36" s="58" t="s">
        <v>226</v>
      </c>
      <c r="C36" s="59">
        <v>1</v>
      </c>
      <c r="D36" s="178"/>
      <c r="E36" s="166" t="s">
        <v>164</v>
      </c>
      <c r="F36" s="62">
        <v>90</v>
      </c>
      <c r="G36" s="63">
        <f t="shared" si="0"/>
        <v>90</v>
      </c>
      <c r="H36" s="168" t="s">
        <v>227</v>
      </c>
      <c r="I36" s="100" t="s">
        <v>228</v>
      </c>
    </row>
    <row r="37" ht="15" customHeight="1" spans="1:9">
      <c r="A37" s="164">
        <v>30</v>
      </c>
      <c r="B37" s="58" t="s">
        <v>229</v>
      </c>
      <c r="C37" s="59">
        <v>1</v>
      </c>
      <c r="D37" s="178"/>
      <c r="E37" s="166" t="s">
        <v>164</v>
      </c>
      <c r="F37" s="62">
        <v>70</v>
      </c>
      <c r="G37" s="63">
        <f t="shared" si="0"/>
        <v>70</v>
      </c>
      <c r="H37" s="168" t="s">
        <v>227</v>
      </c>
      <c r="I37" s="100" t="s">
        <v>230</v>
      </c>
    </row>
    <row r="38" ht="15" customHeight="1" spans="1:9">
      <c r="A38" s="164">
        <v>31</v>
      </c>
      <c r="B38" s="58" t="s">
        <v>231</v>
      </c>
      <c r="C38" s="59">
        <v>1</v>
      </c>
      <c r="D38" s="178"/>
      <c r="E38" s="166" t="s">
        <v>164</v>
      </c>
      <c r="F38" s="62">
        <v>85</v>
      </c>
      <c r="G38" s="63">
        <f t="shared" si="0"/>
        <v>85</v>
      </c>
      <c r="H38" s="168" t="s">
        <v>227</v>
      </c>
      <c r="I38" s="100" t="s">
        <v>232</v>
      </c>
    </row>
    <row r="39" ht="15" customHeight="1" spans="1:9">
      <c r="A39" s="164">
        <v>32</v>
      </c>
      <c r="B39" s="58" t="s">
        <v>233</v>
      </c>
      <c r="C39" s="59">
        <v>1</v>
      </c>
      <c r="D39" s="178"/>
      <c r="E39" s="166" t="s">
        <v>234</v>
      </c>
      <c r="F39" s="62">
        <v>40</v>
      </c>
      <c r="G39" s="63">
        <f t="shared" si="0"/>
        <v>40</v>
      </c>
      <c r="H39" s="168" t="s">
        <v>235</v>
      </c>
      <c r="I39" s="100" t="s">
        <v>236</v>
      </c>
    </row>
    <row r="40" s="111" customFormat="1" ht="15" customHeight="1" spans="1:79">
      <c r="A40" s="164">
        <v>33</v>
      </c>
      <c r="B40" s="199" t="s">
        <v>237</v>
      </c>
      <c r="C40" s="59">
        <v>1</v>
      </c>
      <c r="D40" s="200"/>
      <c r="E40" s="197" t="s">
        <v>187</v>
      </c>
      <c r="F40" s="62">
        <v>150</v>
      </c>
      <c r="G40" s="198">
        <f t="shared" si="0"/>
        <v>150</v>
      </c>
      <c r="H40" s="174" t="s">
        <v>238</v>
      </c>
      <c r="I40" s="99" t="s">
        <v>239</v>
      </c>
      <c r="J40" s="230"/>
      <c r="Z40" s="230" t="s">
        <v>240</v>
      </c>
      <c r="AA40" s="234" t="s">
        <v>241</v>
      </c>
      <c r="AB40" s="233" t="s">
        <v>242</v>
      </c>
      <c r="AC40" s="233" t="s">
        <v>243</v>
      </c>
      <c r="AD40" s="233" t="s">
        <v>238</v>
      </c>
      <c r="AE40" s="233"/>
      <c r="AF40" s="233">
        <v>30</v>
      </c>
      <c r="AG40" s="233">
        <v>50</v>
      </c>
      <c r="AH40" s="233">
        <v>80</v>
      </c>
      <c r="AI40" s="233">
        <v>200</v>
      </c>
      <c r="AJ40" s="233"/>
      <c r="AK40" s="233"/>
      <c r="AL40" s="233"/>
      <c r="AM40" s="233"/>
      <c r="AN40" s="233"/>
      <c r="AO40" s="233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</row>
    <row r="41" ht="15" customHeight="1" spans="1:9">
      <c r="A41" s="164">
        <v>34</v>
      </c>
      <c r="B41" s="58" t="s">
        <v>244</v>
      </c>
      <c r="C41" s="59">
        <v>1</v>
      </c>
      <c r="D41" s="173">
        <f>C36*2+C37*2+C38*2</f>
        <v>6</v>
      </c>
      <c r="E41" s="166" t="s">
        <v>164</v>
      </c>
      <c r="F41" s="62">
        <v>18</v>
      </c>
      <c r="G41" s="63">
        <f t="shared" si="0"/>
        <v>18</v>
      </c>
      <c r="H41" s="174" t="s">
        <v>245</v>
      </c>
      <c r="I41" s="227" t="s">
        <v>246</v>
      </c>
    </row>
    <row r="42" ht="15" customHeight="1" spans="1:9">
      <c r="A42" s="164">
        <v>35</v>
      </c>
      <c r="B42" s="58" t="s">
        <v>247</v>
      </c>
      <c r="C42" s="59">
        <v>1</v>
      </c>
      <c r="D42" s="173"/>
      <c r="E42" s="166" t="s">
        <v>164</v>
      </c>
      <c r="F42" s="167">
        <v>90</v>
      </c>
      <c r="G42" s="63">
        <f t="shared" si="0"/>
        <v>90</v>
      </c>
      <c r="H42" s="168"/>
      <c r="I42" s="101" t="s">
        <v>248</v>
      </c>
    </row>
    <row r="43" ht="23.1" customHeight="1" spans="1:9">
      <c r="A43" s="164">
        <v>36</v>
      </c>
      <c r="B43" s="58" t="s">
        <v>249</v>
      </c>
      <c r="C43" s="59">
        <v>1</v>
      </c>
      <c r="D43" s="186"/>
      <c r="E43" s="62" t="s">
        <v>161</v>
      </c>
      <c r="F43" s="62">
        <v>380</v>
      </c>
      <c r="G43" s="63">
        <f>F43*C43</f>
        <v>380</v>
      </c>
      <c r="H43" s="174" t="s">
        <v>250</v>
      </c>
      <c r="I43" s="231" t="s">
        <v>251</v>
      </c>
    </row>
    <row r="44" ht="15" customHeight="1" spans="1:9">
      <c r="A44" s="164">
        <v>37</v>
      </c>
      <c r="B44" s="58" t="s">
        <v>252</v>
      </c>
      <c r="C44" s="59">
        <v>1</v>
      </c>
      <c r="D44" s="186"/>
      <c r="E44" s="166" t="s">
        <v>183</v>
      </c>
      <c r="F44" s="167">
        <v>120</v>
      </c>
      <c r="G44" s="63">
        <f t="shared" ref="G44:G77" si="1">C44*F44</f>
        <v>120</v>
      </c>
      <c r="H44" s="168"/>
      <c r="I44" s="101" t="s">
        <v>253</v>
      </c>
    </row>
    <row r="45" ht="15" customHeight="1" spans="1:9">
      <c r="A45" s="164">
        <v>38</v>
      </c>
      <c r="B45" s="58" t="s">
        <v>254</v>
      </c>
      <c r="C45" s="59">
        <v>1</v>
      </c>
      <c r="D45" s="186"/>
      <c r="E45" s="166" t="s">
        <v>187</v>
      </c>
      <c r="F45" s="167">
        <v>30</v>
      </c>
      <c r="G45" s="63">
        <f t="shared" si="1"/>
        <v>30</v>
      </c>
      <c r="H45" s="168"/>
      <c r="I45" s="101" t="s">
        <v>255</v>
      </c>
    </row>
    <row r="46" ht="15" customHeight="1" spans="1:9">
      <c r="A46" s="164">
        <v>39</v>
      </c>
      <c r="B46" s="58" t="s">
        <v>256</v>
      </c>
      <c r="C46" s="59">
        <v>1</v>
      </c>
      <c r="D46" s="186"/>
      <c r="E46" s="166" t="s">
        <v>26</v>
      </c>
      <c r="F46" s="167">
        <v>25</v>
      </c>
      <c r="G46" s="63">
        <f t="shared" si="1"/>
        <v>25</v>
      </c>
      <c r="H46" s="168"/>
      <c r="I46" s="101"/>
    </row>
    <row r="47" ht="15" customHeight="1" spans="1:9">
      <c r="A47" s="164">
        <v>40</v>
      </c>
      <c r="B47" s="187" t="s">
        <v>257</v>
      </c>
      <c r="C47" s="59">
        <v>1</v>
      </c>
      <c r="D47" s="186"/>
      <c r="E47" s="166" t="s">
        <v>187</v>
      </c>
      <c r="F47" s="167">
        <v>50</v>
      </c>
      <c r="G47" s="63">
        <f t="shared" si="1"/>
        <v>50</v>
      </c>
      <c r="H47" s="168"/>
      <c r="I47" s="101" t="s">
        <v>258</v>
      </c>
    </row>
    <row r="48" ht="22.5" customHeight="1" spans="1:9">
      <c r="A48" s="164">
        <v>41</v>
      </c>
      <c r="B48" s="58" t="s">
        <v>259</v>
      </c>
      <c r="C48" s="59">
        <v>1</v>
      </c>
      <c r="D48" s="186"/>
      <c r="E48" s="166" t="s">
        <v>164</v>
      </c>
      <c r="F48" s="167">
        <v>375</v>
      </c>
      <c r="G48" s="63">
        <f t="shared" si="1"/>
        <v>375</v>
      </c>
      <c r="H48" s="168" t="s">
        <v>260</v>
      </c>
      <c r="I48" s="101" t="s">
        <v>261</v>
      </c>
    </row>
    <row r="49" ht="15" customHeight="1" spans="1:9">
      <c r="A49" s="164">
        <v>42</v>
      </c>
      <c r="B49" s="58" t="s">
        <v>262</v>
      </c>
      <c r="C49" s="59">
        <v>1</v>
      </c>
      <c r="D49" s="186"/>
      <c r="E49" s="166" t="s">
        <v>164</v>
      </c>
      <c r="F49" s="62">
        <v>40</v>
      </c>
      <c r="G49" s="63">
        <f t="shared" si="1"/>
        <v>40</v>
      </c>
      <c r="H49" s="168"/>
      <c r="I49" s="101" t="s">
        <v>263</v>
      </c>
    </row>
    <row r="50" ht="15" customHeight="1" spans="1:9">
      <c r="A50" s="164">
        <v>43</v>
      </c>
      <c r="B50" s="184" t="s">
        <v>264</v>
      </c>
      <c r="C50" s="59">
        <v>1</v>
      </c>
      <c r="D50" s="201">
        <f>C3</f>
        <v>80</v>
      </c>
      <c r="E50" s="166" t="s">
        <v>164</v>
      </c>
      <c r="F50" s="62">
        <v>10.5</v>
      </c>
      <c r="G50" s="63">
        <f t="shared" si="1"/>
        <v>10.5</v>
      </c>
      <c r="H50" s="174" t="s">
        <v>165</v>
      </c>
      <c r="I50" s="101" t="s">
        <v>265</v>
      </c>
    </row>
    <row r="51" ht="15" customHeight="1" spans="1:9">
      <c r="A51" s="164">
        <v>44</v>
      </c>
      <c r="B51" s="58" t="s">
        <v>266</v>
      </c>
      <c r="C51" s="59">
        <v>1</v>
      </c>
      <c r="D51" s="186"/>
      <c r="E51" s="166" t="s">
        <v>164</v>
      </c>
      <c r="F51" s="167">
        <v>8</v>
      </c>
      <c r="G51" s="63">
        <f t="shared" si="1"/>
        <v>8</v>
      </c>
      <c r="H51" s="168"/>
      <c r="I51" s="101" t="s">
        <v>267</v>
      </c>
    </row>
    <row r="52" s="107" customFormat="1" ht="22.5" customHeight="1" spans="1:79">
      <c r="A52" s="164">
        <v>45</v>
      </c>
      <c r="B52" s="38" t="s">
        <v>268</v>
      </c>
      <c r="C52" s="189">
        <v>1</v>
      </c>
      <c r="D52" s="52"/>
      <c r="E52" s="54" t="s">
        <v>164</v>
      </c>
      <c r="F52" s="62">
        <v>80</v>
      </c>
      <c r="G52" s="43">
        <f t="shared" si="1"/>
        <v>80</v>
      </c>
      <c r="H52" s="174" t="s">
        <v>269</v>
      </c>
      <c r="I52" s="97" t="s">
        <v>270</v>
      </c>
      <c r="J52" s="232"/>
      <c r="AA52" s="235" t="s">
        <v>271</v>
      </c>
      <c r="AB52" s="108" t="s">
        <v>272</v>
      </c>
      <c r="AC52" s="108" t="s">
        <v>273</v>
      </c>
      <c r="AD52" s="108" t="s">
        <v>274</v>
      </c>
      <c r="AE52" s="108" t="s">
        <v>275</v>
      </c>
      <c r="AF52" s="108">
        <f>75+50</f>
        <v>125</v>
      </c>
      <c r="AG52" s="108">
        <v>75</v>
      </c>
      <c r="AH52" s="108">
        <v>50</v>
      </c>
      <c r="AI52" s="108">
        <v>75</v>
      </c>
      <c r="AJ52" s="108">
        <v>65</v>
      </c>
      <c r="AK52" s="108"/>
      <c r="AL52" s="108"/>
      <c r="AM52" s="108"/>
      <c r="AN52" s="108"/>
      <c r="AO52" s="108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</row>
    <row r="53" s="115" customFormat="1" customHeight="1" spans="1:79">
      <c r="A53" s="164">
        <v>46</v>
      </c>
      <c r="B53" s="202" t="s">
        <v>276</v>
      </c>
      <c r="C53" s="189">
        <v>1</v>
      </c>
      <c r="D53" s="52"/>
      <c r="E53" s="54" t="s">
        <v>164</v>
      </c>
      <c r="F53" s="62">
        <v>130</v>
      </c>
      <c r="G53" s="43">
        <f t="shared" si="1"/>
        <v>130</v>
      </c>
      <c r="H53" s="174" t="s">
        <v>277</v>
      </c>
      <c r="I53" s="97" t="s">
        <v>278</v>
      </c>
      <c r="J53" s="232"/>
      <c r="AA53" s="235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</row>
    <row r="54" ht="15" customHeight="1" spans="1:9">
      <c r="A54" s="164">
        <v>47</v>
      </c>
      <c r="B54" s="203" t="s">
        <v>279</v>
      </c>
      <c r="C54" s="59">
        <v>1</v>
      </c>
      <c r="D54" s="178"/>
      <c r="E54" s="166" t="s">
        <v>164</v>
      </c>
      <c r="F54" s="62">
        <v>18</v>
      </c>
      <c r="G54" s="63">
        <f t="shared" si="1"/>
        <v>18</v>
      </c>
      <c r="H54" s="168"/>
      <c r="I54" s="227" t="s">
        <v>280</v>
      </c>
    </row>
    <row r="55" ht="15" customHeight="1" spans="1:9">
      <c r="A55" s="164">
        <v>48</v>
      </c>
      <c r="B55" s="203" t="s">
        <v>281</v>
      </c>
      <c r="C55" s="59">
        <v>1</v>
      </c>
      <c r="D55" s="178"/>
      <c r="E55" s="166" t="s">
        <v>164</v>
      </c>
      <c r="F55" s="62">
        <v>30</v>
      </c>
      <c r="G55" s="63">
        <f t="shared" si="1"/>
        <v>30</v>
      </c>
      <c r="H55" s="204" t="s">
        <v>282</v>
      </c>
      <c r="I55" s="227" t="s">
        <v>283</v>
      </c>
    </row>
    <row r="56" ht="23.25" customHeight="1" spans="1:9">
      <c r="A56" s="164">
        <v>49</v>
      </c>
      <c r="B56" s="58" t="s">
        <v>284</v>
      </c>
      <c r="C56" s="59">
        <v>1</v>
      </c>
      <c r="D56" s="178"/>
      <c r="E56" s="166" t="s">
        <v>164</v>
      </c>
      <c r="F56" s="62">
        <v>35</v>
      </c>
      <c r="G56" s="63">
        <f t="shared" si="1"/>
        <v>35</v>
      </c>
      <c r="H56" s="168"/>
      <c r="I56" s="101" t="s">
        <v>285</v>
      </c>
    </row>
    <row r="57" ht="15" customHeight="1" spans="1:9">
      <c r="A57" s="164">
        <v>50</v>
      </c>
      <c r="B57" s="58" t="s">
        <v>286</v>
      </c>
      <c r="C57" s="59">
        <v>1</v>
      </c>
      <c r="D57" s="178"/>
      <c r="E57" s="166" t="s">
        <v>187</v>
      </c>
      <c r="F57" s="62">
        <v>10</v>
      </c>
      <c r="G57" s="63">
        <f t="shared" si="1"/>
        <v>10</v>
      </c>
      <c r="H57" s="168"/>
      <c r="I57" s="101" t="s">
        <v>287</v>
      </c>
    </row>
    <row r="58" ht="15" customHeight="1" spans="1:9">
      <c r="A58" s="164">
        <v>51</v>
      </c>
      <c r="B58" s="58" t="s">
        <v>288</v>
      </c>
      <c r="C58" s="59">
        <v>1</v>
      </c>
      <c r="D58" s="178"/>
      <c r="E58" s="166" t="s">
        <v>164</v>
      </c>
      <c r="F58" s="167">
        <v>10</v>
      </c>
      <c r="G58" s="63">
        <f t="shared" si="1"/>
        <v>10</v>
      </c>
      <c r="H58" s="168"/>
      <c r="I58" s="101" t="s">
        <v>289</v>
      </c>
    </row>
    <row r="59" ht="38.25" customHeight="1" spans="1:9">
      <c r="A59" s="164">
        <v>52</v>
      </c>
      <c r="B59" s="58" t="s">
        <v>290</v>
      </c>
      <c r="C59" s="59">
        <v>1</v>
      </c>
      <c r="D59" s="186"/>
      <c r="E59" s="166" t="s">
        <v>164</v>
      </c>
      <c r="F59" s="62">
        <v>35</v>
      </c>
      <c r="G59" s="63">
        <f t="shared" si="1"/>
        <v>35</v>
      </c>
      <c r="H59" s="168" t="s">
        <v>291</v>
      </c>
      <c r="I59" s="101" t="s">
        <v>292</v>
      </c>
    </row>
    <row r="60" ht="22.5" customHeight="1" spans="1:9">
      <c r="A60" s="164">
        <v>53</v>
      </c>
      <c r="B60" s="205" t="s">
        <v>293</v>
      </c>
      <c r="C60" s="59">
        <v>1</v>
      </c>
      <c r="D60" s="206"/>
      <c r="E60" s="207" t="s">
        <v>164</v>
      </c>
      <c r="F60" s="62">
        <v>15</v>
      </c>
      <c r="G60" s="208">
        <f t="shared" si="1"/>
        <v>15</v>
      </c>
      <c r="H60" s="204" t="s">
        <v>250</v>
      </c>
      <c r="I60" s="98" t="s">
        <v>294</v>
      </c>
    </row>
    <row r="61" s="116" customFormat="1" ht="15" customHeight="1" spans="1:9">
      <c r="A61" s="164">
        <v>54</v>
      </c>
      <c r="B61" s="184" t="s">
        <v>295</v>
      </c>
      <c r="C61" s="59">
        <v>1</v>
      </c>
      <c r="D61" s="209"/>
      <c r="E61" s="210" t="s">
        <v>187</v>
      </c>
      <c r="F61" s="211">
        <v>28</v>
      </c>
      <c r="G61" s="208">
        <f t="shared" si="1"/>
        <v>28</v>
      </c>
      <c r="H61" s="212"/>
      <c r="I61" s="102" t="s">
        <v>296</v>
      </c>
    </row>
    <row r="62" ht="16.5" customHeight="1" spans="1:9">
      <c r="A62" s="164">
        <v>55</v>
      </c>
      <c r="B62" s="58" t="s">
        <v>297</v>
      </c>
      <c r="C62" s="59">
        <v>1</v>
      </c>
      <c r="D62" s="186"/>
      <c r="E62" s="166" t="s">
        <v>164</v>
      </c>
      <c r="F62" s="167">
        <f>F59</f>
        <v>35</v>
      </c>
      <c r="G62" s="63">
        <f t="shared" si="1"/>
        <v>35</v>
      </c>
      <c r="H62" s="168"/>
      <c r="I62" s="101" t="s">
        <v>298</v>
      </c>
    </row>
    <row r="63" ht="22.5" customHeight="1" spans="1:9">
      <c r="A63" s="164">
        <v>56</v>
      </c>
      <c r="B63" s="58" t="s">
        <v>299</v>
      </c>
      <c r="C63" s="59">
        <v>1</v>
      </c>
      <c r="D63" s="186"/>
      <c r="E63" s="166" t="s">
        <v>164</v>
      </c>
      <c r="F63" s="62">
        <v>80</v>
      </c>
      <c r="G63" s="63">
        <f t="shared" si="1"/>
        <v>80</v>
      </c>
      <c r="H63" s="213"/>
      <c r="I63" s="101" t="s">
        <v>300</v>
      </c>
    </row>
    <row r="64" s="111" customFormat="1" customHeight="1" spans="1:65">
      <c r="A64" s="164">
        <v>57</v>
      </c>
      <c r="B64" s="199" t="s">
        <v>301</v>
      </c>
      <c r="C64" s="59">
        <v>1</v>
      </c>
      <c r="D64" s="214"/>
      <c r="E64" s="215" t="s">
        <v>187</v>
      </c>
      <c r="F64" s="42">
        <v>25</v>
      </c>
      <c r="G64" s="198">
        <f t="shared" si="1"/>
        <v>25</v>
      </c>
      <c r="H64" s="216" t="s">
        <v>302</v>
      </c>
      <c r="I64" s="97" t="s">
        <v>303</v>
      </c>
      <c r="J64" s="230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</row>
    <row r="65" customHeight="1" spans="1:9">
      <c r="A65" s="164">
        <v>58</v>
      </c>
      <c r="B65" s="58" t="s">
        <v>304</v>
      </c>
      <c r="C65" s="59">
        <v>1</v>
      </c>
      <c r="D65" s="186">
        <f>ROUND(C63+C62+C59+C56,1)</f>
        <v>4</v>
      </c>
      <c r="E65" s="166" t="s">
        <v>164</v>
      </c>
      <c r="F65" s="167">
        <v>4</v>
      </c>
      <c r="G65" s="63">
        <f t="shared" si="1"/>
        <v>4</v>
      </c>
      <c r="H65" s="213"/>
      <c r="I65" s="101" t="s">
        <v>305</v>
      </c>
    </row>
    <row r="66" s="117" customFormat="1" ht="33.75" customHeight="1" spans="1:79">
      <c r="A66" s="164">
        <v>59</v>
      </c>
      <c r="B66" s="240" t="s">
        <v>306</v>
      </c>
      <c r="C66" s="59">
        <v>1</v>
      </c>
      <c r="D66" s="241"/>
      <c r="E66" s="242" t="s">
        <v>164</v>
      </c>
      <c r="F66" s="211">
        <v>28</v>
      </c>
      <c r="G66" s="198">
        <f t="shared" si="1"/>
        <v>28</v>
      </c>
      <c r="H66" s="243"/>
      <c r="I66" s="101" t="s">
        <v>307</v>
      </c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33"/>
      <c r="AB66" s="233"/>
      <c r="AC66" s="233"/>
      <c r="AD66" s="233"/>
      <c r="AE66" s="233"/>
      <c r="AF66" s="233"/>
      <c r="AG66" s="284"/>
      <c r="AH66" s="284"/>
      <c r="AI66" s="284"/>
      <c r="AJ66" s="284"/>
      <c r="AK66" s="285"/>
      <c r="AL66" s="285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7"/>
      <c r="BI66" s="287"/>
      <c r="BJ66" s="287"/>
      <c r="BK66" s="287"/>
      <c r="BL66" s="287"/>
      <c r="BM66" s="287"/>
      <c r="BN66" s="287"/>
      <c r="BO66" s="287"/>
      <c r="BP66" s="287"/>
      <c r="BQ66" s="287"/>
      <c r="BR66" s="287"/>
      <c r="BS66" s="287"/>
      <c r="BT66" s="287"/>
      <c r="BU66" s="287"/>
      <c r="BV66" s="287"/>
      <c r="BW66" s="287"/>
      <c r="BX66" s="287"/>
      <c r="BY66" s="287"/>
      <c r="BZ66" s="287"/>
      <c r="CA66" s="287"/>
    </row>
    <row r="67" ht="27.75" customHeight="1" spans="1:9">
      <c r="A67" s="164">
        <v>60</v>
      </c>
      <c r="B67" s="58" t="s">
        <v>308</v>
      </c>
      <c r="C67" s="59">
        <v>1</v>
      </c>
      <c r="D67" s="186"/>
      <c r="E67" s="166" t="s">
        <v>164</v>
      </c>
      <c r="F67" s="62">
        <v>150</v>
      </c>
      <c r="G67" s="63">
        <f t="shared" si="1"/>
        <v>150</v>
      </c>
      <c r="H67" s="204" t="s">
        <v>309</v>
      </c>
      <c r="I67" s="101" t="s">
        <v>310</v>
      </c>
    </row>
    <row r="68" ht="15" customHeight="1" spans="1:9">
      <c r="A68" s="164">
        <v>61</v>
      </c>
      <c r="B68" s="58" t="s">
        <v>311</v>
      </c>
      <c r="C68" s="59">
        <v>1</v>
      </c>
      <c r="D68" s="186"/>
      <c r="E68" s="166" t="s">
        <v>164</v>
      </c>
      <c r="F68" s="62">
        <v>14</v>
      </c>
      <c r="G68" s="63">
        <f t="shared" si="1"/>
        <v>14</v>
      </c>
      <c r="H68" s="213"/>
      <c r="I68" s="99" t="s">
        <v>312</v>
      </c>
    </row>
    <row r="69" ht="15" customHeight="1" spans="1:9">
      <c r="A69" s="164">
        <v>62</v>
      </c>
      <c r="B69" s="58" t="s">
        <v>313</v>
      </c>
      <c r="C69" s="59">
        <v>1</v>
      </c>
      <c r="D69" s="201">
        <f>C20</f>
        <v>1</v>
      </c>
      <c r="E69" s="166" t="s">
        <v>187</v>
      </c>
      <c r="F69" s="167">
        <v>80</v>
      </c>
      <c r="G69" s="63">
        <f t="shared" si="1"/>
        <v>80</v>
      </c>
      <c r="H69" s="213"/>
      <c r="I69" s="101" t="s">
        <v>314</v>
      </c>
    </row>
    <row r="70" customHeight="1" spans="1:9">
      <c r="A70" s="164">
        <v>63</v>
      </c>
      <c r="B70" s="58" t="s">
        <v>315</v>
      </c>
      <c r="C70" s="59">
        <v>1</v>
      </c>
      <c r="D70" s="186"/>
      <c r="E70" s="166" t="s">
        <v>164</v>
      </c>
      <c r="F70" s="167">
        <v>60</v>
      </c>
      <c r="G70" s="63">
        <f t="shared" si="1"/>
        <v>60</v>
      </c>
      <c r="H70" s="244"/>
      <c r="I70" s="97" t="s">
        <v>316</v>
      </c>
    </row>
    <row r="71" ht="15" customHeight="1" spans="1:9">
      <c r="A71" s="164">
        <v>64</v>
      </c>
      <c r="B71" s="58" t="s">
        <v>317</v>
      </c>
      <c r="C71" s="59">
        <v>1</v>
      </c>
      <c r="D71" s="186"/>
      <c r="E71" s="166" t="s">
        <v>164</v>
      </c>
      <c r="F71" s="167">
        <v>120</v>
      </c>
      <c r="G71" s="63">
        <f t="shared" si="1"/>
        <v>120</v>
      </c>
      <c r="H71" s="213"/>
      <c r="I71" s="101" t="s">
        <v>318</v>
      </c>
    </row>
    <row r="72" ht="15" customHeight="1" spans="1:9">
      <c r="A72" s="164">
        <v>65</v>
      </c>
      <c r="B72" s="58" t="s">
        <v>319</v>
      </c>
      <c r="C72" s="59">
        <v>1</v>
      </c>
      <c r="D72" s="186"/>
      <c r="E72" s="166" t="s">
        <v>26</v>
      </c>
      <c r="F72" s="167">
        <v>15</v>
      </c>
      <c r="G72" s="63">
        <f t="shared" si="1"/>
        <v>15</v>
      </c>
      <c r="H72" s="213"/>
      <c r="I72" s="101" t="s">
        <v>320</v>
      </c>
    </row>
    <row r="73" ht="15" customHeight="1" spans="1:9">
      <c r="A73" s="164">
        <v>66</v>
      </c>
      <c r="B73" s="58" t="s">
        <v>321</v>
      </c>
      <c r="C73" s="59">
        <v>1</v>
      </c>
      <c r="D73" s="186"/>
      <c r="E73" s="166" t="s">
        <v>187</v>
      </c>
      <c r="F73" s="167">
        <f>30+10</f>
        <v>40</v>
      </c>
      <c r="G73" s="63">
        <f t="shared" si="1"/>
        <v>40</v>
      </c>
      <c r="H73" s="213"/>
      <c r="I73" s="101" t="s">
        <v>322</v>
      </c>
    </row>
    <row r="74" ht="15" customHeight="1" spans="1:9">
      <c r="A74" s="164">
        <v>67</v>
      </c>
      <c r="B74" s="58" t="s">
        <v>323</v>
      </c>
      <c r="C74" s="59">
        <v>1</v>
      </c>
      <c r="D74" s="186"/>
      <c r="E74" s="166" t="s">
        <v>187</v>
      </c>
      <c r="F74" s="167">
        <v>15</v>
      </c>
      <c r="G74" s="63">
        <f t="shared" si="1"/>
        <v>15</v>
      </c>
      <c r="H74" s="213"/>
      <c r="I74" s="101"/>
    </row>
    <row r="75" ht="15" customHeight="1" spans="1:9">
      <c r="A75" s="164">
        <v>68</v>
      </c>
      <c r="B75" s="58" t="s">
        <v>324</v>
      </c>
      <c r="C75" s="59">
        <v>1</v>
      </c>
      <c r="D75" s="186"/>
      <c r="E75" s="166" t="s">
        <v>187</v>
      </c>
      <c r="F75" s="62">
        <v>180</v>
      </c>
      <c r="G75" s="63">
        <f t="shared" si="1"/>
        <v>180</v>
      </c>
      <c r="H75" s="213"/>
      <c r="I75" s="101" t="s">
        <v>325</v>
      </c>
    </row>
    <row r="76" ht="15" customHeight="1" spans="1:9">
      <c r="A76" s="164">
        <v>69</v>
      </c>
      <c r="B76" s="58" t="s">
        <v>326</v>
      </c>
      <c r="C76" s="59">
        <v>1</v>
      </c>
      <c r="D76" s="186"/>
      <c r="E76" s="166" t="s">
        <v>164</v>
      </c>
      <c r="F76" s="62">
        <v>120</v>
      </c>
      <c r="G76" s="63">
        <f t="shared" si="1"/>
        <v>120</v>
      </c>
      <c r="H76" s="213"/>
      <c r="I76" s="101" t="s">
        <v>327</v>
      </c>
    </row>
    <row r="77" ht="15" customHeight="1" spans="1:9">
      <c r="A77" s="164">
        <v>70</v>
      </c>
      <c r="B77" s="58" t="s">
        <v>328</v>
      </c>
      <c r="C77" s="59">
        <v>1</v>
      </c>
      <c r="D77" s="186"/>
      <c r="E77" s="166" t="s">
        <v>164</v>
      </c>
      <c r="F77" s="62">
        <v>160</v>
      </c>
      <c r="G77" s="63">
        <f t="shared" si="1"/>
        <v>160</v>
      </c>
      <c r="H77" s="213"/>
      <c r="I77" s="101" t="s">
        <v>329</v>
      </c>
    </row>
    <row r="78" ht="15" customHeight="1" spans="1:9">
      <c r="A78" s="164">
        <v>71</v>
      </c>
      <c r="B78" s="58" t="s">
        <v>330</v>
      </c>
      <c r="C78" s="59">
        <v>1</v>
      </c>
      <c r="D78" s="186"/>
      <c r="E78" s="166" t="s">
        <v>164</v>
      </c>
      <c r="F78" s="167">
        <v>40</v>
      </c>
      <c r="G78" s="63">
        <f t="shared" ref="G78:G91" si="2">C78*F78</f>
        <v>40</v>
      </c>
      <c r="H78" s="213"/>
      <c r="I78" s="101" t="s">
        <v>331</v>
      </c>
    </row>
    <row r="79" ht="15" customHeight="1" spans="1:9">
      <c r="A79" s="164">
        <v>72</v>
      </c>
      <c r="B79" s="58" t="s">
        <v>332</v>
      </c>
      <c r="C79" s="59">
        <v>1</v>
      </c>
      <c r="D79" s="190"/>
      <c r="E79" s="67" t="s">
        <v>164</v>
      </c>
      <c r="F79" s="191">
        <v>180</v>
      </c>
      <c r="G79" s="192">
        <f t="shared" si="2"/>
        <v>180</v>
      </c>
      <c r="H79" s="68"/>
      <c r="I79" s="101" t="s">
        <v>333</v>
      </c>
    </row>
    <row r="80" ht="15" customHeight="1" spans="1:9">
      <c r="A80" s="164">
        <v>73</v>
      </c>
      <c r="B80" s="58" t="s">
        <v>334</v>
      </c>
      <c r="C80" s="59">
        <v>1</v>
      </c>
      <c r="D80" s="186"/>
      <c r="E80" s="166" t="s">
        <v>26</v>
      </c>
      <c r="F80" s="167">
        <v>80</v>
      </c>
      <c r="G80" s="63">
        <f t="shared" si="2"/>
        <v>80</v>
      </c>
      <c r="H80" s="213"/>
      <c r="I80" s="101" t="s">
        <v>335</v>
      </c>
    </row>
    <row r="81" ht="15" customHeight="1" spans="1:9">
      <c r="A81" s="164">
        <v>74</v>
      </c>
      <c r="B81" s="58" t="s">
        <v>336</v>
      </c>
      <c r="C81" s="59">
        <v>1</v>
      </c>
      <c r="D81" s="186"/>
      <c r="E81" s="166" t="s">
        <v>195</v>
      </c>
      <c r="F81" s="167">
        <v>80</v>
      </c>
      <c r="G81" s="63">
        <f t="shared" si="2"/>
        <v>80</v>
      </c>
      <c r="H81" s="213"/>
      <c r="I81" s="102" t="s">
        <v>337</v>
      </c>
    </row>
    <row r="82" ht="15" customHeight="1" spans="1:9">
      <c r="A82" s="164">
        <v>75</v>
      </c>
      <c r="B82" s="58" t="s">
        <v>338</v>
      </c>
      <c r="C82" s="59">
        <v>1</v>
      </c>
      <c r="D82" s="186"/>
      <c r="E82" s="166" t="s">
        <v>26</v>
      </c>
      <c r="F82" s="167">
        <v>50</v>
      </c>
      <c r="G82" s="63">
        <f t="shared" si="2"/>
        <v>50</v>
      </c>
      <c r="H82" s="213"/>
      <c r="I82" s="101" t="s">
        <v>339</v>
      </c>
    </row>
    <row r="83" ht="15" customHeight="1" spans="1:9">
      <c r="A83" s="164">
        <v>76</v>
      </c>
      <c r="B83" s="58" t="s">
        <v>340</v>
      </c>
      <c r="C83" s="59">
        <v>1</v>
      </c>
      <c r="D83" s="186"/>
      <c r="E83" s="166" t="s">
        <v>234</v>
      </c>
      <c r="F83" s="167">
        <v>400</v>
      </c>
      <c r="G83" s="63">
        <f t="shared" si="2"/>
        <v>400</v>
      </c>
      <c r="H83" s="213"/>
      <c r="I83" s="101" t="s">
        <v>341</v>
      </c>
    </row>
    <row r="84" ht="24" customHeight="1" spans="1:9">
      <c r="A84" s="164">
        <v>77</v>
      </c>
      <c r="B84" s="58" t="s">
        <v>342</v>
      </c>
      <c r="C84" s="59">
        <v>1</v>
      </c>
      <c r="D84" s="201">
        <f>C3</f>
        <v>80</v>
      </c>
      <c r="E84" s="166" t="s">
        <v>164</v>
      </c>
      <c r="F84" s="167">
        <v>8</v>
      </c>
      <c r="G84" s="63">
        <f t="shared" si="2"/>
        <v>8</v>
      </c>
      <c r="H84" s="213"/>
      <c r="I84" s="101" t="s">
        <v>343</v>
      </c>
    </row>
    <row r="85" s="118" customFormat="1" ht="15" customHeight="1" spans="1:79">
      <c r="A85" s="164">
        <v>78</v>
      </c>
      <c r="B85" s="245" t="s">
        <v>344</v>
      </c>
      <c r="C85" s="59">
        <v>80</v>
      </c>
      <c r="D85" s="246"/>
      <c r="E85" s="166" t="s">
        <v>164</v>
      </c>
      <c r="F85" s="62">
        <v>8.5</v>
      </c>
      <c r="G85" s="63">
        <f t="shared" si="2"/>
        <v>680</v>
      </c>
      <c r="H85" s="247" t="s">
        <v>345</v>
      </c>
      <c r="I85" s="271" t="s">
        <v>346</v>
      </c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84"/>
      <c r="AB85" s="284"/>
      <c r="AC85" s="284"/>
      <c r="AD85" s="284"/>
      <c r="AE85" s="284"/>
      <c r="AF85" s="284"/>
      <c r="AG85" s="284"/>
      <c r="AH85" s="285"/>
      <c r="AI85" s="284"/>
      <c r="AJ85" s="284"/>
      <c r="AK85" s="284"/>
      <c r="AL85" s="284"/>
      <c r="AM85" s="284"/>
      <c r="AN85" s="284"/>
      <c r="AO85" s="285"/>
      <c r="AP85" s="284"/>
      <c r="AQ85" s="284"/>
      <c r="AR85" s="284"/>
      <c r="AS85" s="284"/>
      <c r="AT85" s="284"/>
      <c r="AU85" s="284"/>
      <c r="AV85" s="284"/>
      <c r="AW85" s="284"/>
      <c r="AX85" s="284"/>
      <c r="AY85" s="284"/>
      <c r="AZ85" s="284"/>
      <c r="BA85" s="284"/>
      <c r="BB85" s="284"/>
      <c r="BC85" s="284"/>
      <c r="BD85" s="284"/>
      <c r="BE85" s="284"/>
      <c r="BF85" s="284"/>
      <c r="BG85" s="284"/>
      <c r="BH85" s="287"/>
      <c r="BI85" s="287"/>
      <c r="BJ85" s="287"/>
      <c r="BK85" s="287"/>
      <c r="BL85" s="287"/>
      <c r="BM85" s="287"/>
      <c r="BN85" s="287"/>
      <c r="BO85" s="287"/>
      <c r="BP85" s="287"/>
      <c r="BQ85" s="287"/>
      <c r="BR85" s="287"/>
      <c r="BS85" s="287"/>
      <c r="BT85" s="287"/>
      <c r="BU85" s="287"/>
      <c r="BV85" s="287"/>
      <c r="BW85" s="287"/>
      <c r="BX85" s="287"/>
      <c r="BY85" s="287"/>
      <c r="BZ85" s="287"/>
      <c r="CA85" s="287"/>
    </row>
    <row r="86" s="118" customFormat="1" ht="15" customHeight="1" spans="1:79">
      <c r="A86" s="164">
        <v>79</v>
      </c>
      <c r="B86" s="245" t="s">
        <v>347</v>
      </c>
      <c r="C86" s="59">
        <v>80</v>
      </c>
      <c r="D86" s="246"/>
      <c r="E86" s="166" t="s">
        <v>164</v>
      </c>
      <c r="F86" s="62">
        <v>4.5</v>
      </c>
      <c r="G86" s="63">
        <f t="shared" si="2"/>
        <v>360</v>
      </c>
      <c r="H86" s="248"/>
      <c r="I86" s="271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84"/>
      <c r="AB86" s="284"/>
      <c r="AC86" s="284"/>
      <c r="AD86" s="284"/>
      <c r="AE86" s="284"/>
      <c r="AF86" s="284"/>
      <c r="AG86" s="284"/>
      <c r="AH86" s="285"/>
      <c r="AI86" s="284"/>
      <c r="AJ86" s="284"/>
      <c r="AK86" s="284"/>
      <c r="AL86" s="284"/>
      <c r="AM86" s="284"/>
      <c r="AN86" s="284"/>
      <c r="AO86" s="285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  <c r="BH86" s="287"/>
      <c r="BI86" s="287"/>
      <c r="BJ86" s="287"/>
      <c r="BK86" s="287"/>
      <c r="BL86" s="287"/>
      <c r="BM86" s="287"/>
      <c r="BN86" s="287"/>
      <c r="BO86" s="287"/>
      <c r="BP86" s="287"/>
      <c r="BQ86" s="287"/>
      <c r="BR86" s="287"/>
      <c r="BS86" s="287"/>
      <c r="BT86" s="287"/>
      <c r="BU86" s="287"/>
      <c r="BV86" s="287"/>
      <c r="BW86" s="287"/>
      <c r="BX86" s="287"/>
      <c r="BY86" s="287"/>
      <c r="BZ86" s="287"/>
      <c r="CA86" s="287"/>
    </row>
    <row r="87" ht="15" customHeight="1" spans="1:9">
      <c r="A87" s="164">
        <v>80</v>
      </c>
      <c r="B87" s="58" t="s">
        <v>348</v>
      </c>
      <c r="C87" s="59">
        <v>1</v>
      </c>
      <c r="D87" s="201">
        <f>C3</f>
        <v>80</v>
      </c>
      <c r="E87" s="166" t="s">
        <v>164</v>
      </c>
      <c r="F87" s="167">
        <v>4.8</v>
      </c>
      <c r="G87" s="63">
        <f t="shared" si="2"/>
        <v>4.8</v>
      </c>
      <c r="H87" s="213"/>
      <c r="I87" s="101" t="s">
        <v>349</v>
      </c>
    </row>
    <row r="88" ht="15" customHeight="1" spans="1:9">
      <c r="A88" s="164">
        <v>81</v>
      </c>
      <c r="B88" s="58" t="s">
        <v>350</v>
      </c>
      <c r="C88" s="59">
        <v>1</v>
      </c>
      <c r="D88" s="201">
        <f>C56+C62+C71+C63</f>
        <v>4</v>
      </c>
      <c r="E88" s="166" t="s">
        <v>164</v>
      </c>
      <c r="F88" s="167">
        <v>12.5</v>
      </c>
      <c r="G88" s="63">
        <f t="shared" si="2"/>
        <v>12.5</v>
      </c>
      <c r="H88" s="213"/>
      <c r="I88" s="101" t="s">
        <v>351</v>
      </c>
    </row>
    <row r="89" ht="33.75" customHeight="1" spans="1:9">
      <c r="A89" s="164">
        <v>82</v>
      </c>
      <c r="B89" s="58" t="s">
        <v>352</v>
      </c>
      <c r="C89" s="59">
        <v>1</v>
      </c>
      <c r="D89" s="186"/>
      <c r="E89" s="166" t="s">
        <v>161</v>
      </c>
      <c r="F89" s="62">
        <f>20*35+100*6.8</f>
        <v>1380</v>
      </c>
      <c r="G89" s="63">
        <f t="shared" si="2"/>
        <v>1380</v>
      </c>
      <c r="H89" s="249"/>
      <c r="I89" s="101" t="s">
        <v>353</v>
      </c>
    </row>
    <row r="90" ht="24" customHeight="1" spans="1:9">
      <c r="A90" s="164">
        <v>83</v>
      </c>
      <c r="B90" s="58" t="s">
        <v>354</v>
      </c>
      <c r="C90" s="59">
        <v>1</v>
      </c>
      <c r="D90" s="186"/>
      <c r="E90" s="166" t="s">
        <v>161</v>
      </c>
      <c r="F90" s="62">
        <v>1</v>
      </c>
      <c r="G90" s="63">
        <f t="shared" si="2"/>
        <v>1</v>
      </c>
      <c r="H90" s="249"/>
      <c r="I90" s="97" t="s">
        <v>355</v>
      </c>
    </row>
    <row r="91" ht="15" customHeight="1" spans="1:9">
      <c r="A91" s="164">
        <v>84</v>
      </c>
      <c r="B91" s="58" t="s">
        <v>356</v>
      </c>
      <c r="C91" s="59">
        <v>1</v>
      </c>
      <c r="D91" s="201">
        <f>C3</f>
        <v>80</v>
      </c>
      <c r="E91" s="166" t="s">
        <v>164</v>
      </c>
      <c r="F91" s="167">
        <v>6</v>
      </c>
      <c r="G91" s="63">
        <f t="shared" si="2"/>
        <v>6</v>
      </c>
      <c r="H91" s="213"/>
      <c r="I91" s="101" t="s">
        <v>357</v>
      </c>
    </row>
    <row r="92" customHeight="1" spans="1:9">
      <c r="A92" s="250"/>
      <c r="B92" s="251"/>
      <c r="C92" s="159"/>
      <c r="D92" s="252"/>
      <c r="E92" s="251"/>
      <c r="F92" s="161"/>
      <c r="G92" s="253" t="s">
        <v>358</v>
      </c>
      <c r="H92" s="254">
        <f>SUM(G7:G92)</f>
        <v>9155.12</v>
      </c>
      <c r="I92" s="273"/>
    </row>
    <row r="93" ht="15.9" customHeight="1" spans="1:9">
      <c r="A93" s="255" t="s">
        <v>359</v>
      </c>
      <c r="B93" s="256"/>
      <c r="C93" s="159"/>
      <c r="D93" s="257"/>
      <c r="E93" s="256"/>
      <c r="F93" s="258"/>
      <c r="G93" s="259"/>
      <c r="H93" s="256"/>
      <c r="I93" s="274"/>
    </row>
    <row r="94" s="113" customFormat="1" ht="16.5" customHeight="1" spans="1:9">
      <c r="A94" s="157" t="s">
        <v>15</v>
      </c>
      <c r="B94" s="158" t="s">
        <v>16</v>
      </c>
      <c r="C94" s="159" t="s">
        <v>17</v>
      </c>
      <c r="D94" s="160" t="s">
        <v>96</v>
      </c>
      <c r="E94" s="158" t="s">
        <v>18</v>
      </c>
      <c r="F94" s="161" t="s">
        <v>19</v>
      </c>
      <c r="G94" s="162" t="s">
        <v>149</v>
      </c>
      <c r="H94" s="163" t="s">
        <v>150</v>
      </c>
      <c r="I94" s="224" t="s">
        <v>22</v>
      </c>
    </row>
    <row r="95" ht="15.9" customHeight="1" spans="1:9">
      <c r="A95" s="255" t="s">
        <v>360</v>
      </c>
      <c r="B95" s="256"/>
      <c r="C95" s="159"/>
      <c r="D95" s="257"/>
      <c r="E95" s="256"/>
      <c r="F95" s="258"/>
      <c r="G95" s="259"/>
      <c r="H95" s="256"/>
      <c r="I95" s="274"/>
    </row>
    <row r="96" ht="15" customHeight="1" spans="1:96">
      <c r="A96" s="164">
        <v>1</v>
      </c>
      <c r="B96" s="260" t="s">
        <v>361</v>
      </c>
      <c r="C96" s="59">
        <v>1</v>
      </c>
      <c r="D96" s="201">
        <f>IF(C3&lt;100,100,C3)</f>
        <v>100</v>
      </c>
      <c r="E96" s="166" t="s">
        <v>164</v>
      </c>
      <c r="F96" s="62">
        <v>16</v>
      </c>
      <c r="G96" s="63">
        <f>C96*F96</f>
        <v>16</v>
      </c>
      <c r="H96" s="261" t="s">
        <v>165</v>
      </c>
      <c r="I96" s="275" t="s">
        <v>362</v>
      </c>
      <c r="CO96" s="3" t="s">
        <v>165</v>
      </c>
      <c r="CP96" s="3" t="s">
        <v>167</v>
      </c>
      <c r="CQ96" s="3">
        <v>15</v>
      </c>
      <c r="CR96" s="3">
        <v>24</v>
      </c>
    </row>
    <row r="97" ht="15" customHeight="1" spans="1:96">
      <c r="A97" s="164">
        <v>2</v>
      </c>
      <c r="B97" s="58" t="s">
        <v>363</v>
      </c>
      <c r="C97" s="59">
        <v>1</v>
      </c>
      <c r="D97" s="201">
        <f>D96</f>
        <v>100</v>
      </c>
      <c r="E97" s="166" t="s">
        <v>164</v>
      </c>
      <c r="F97" s="167">
        <v>6.5</v>
      </c>
      <c r="G97" s="63">
        <f>C97*F97</f>
        <v>6.5</v>
      </c>
      <c r="H97" s="262"/>
      <c r="I97" s="275"/>
      <c r="CQ97" s="3">
        <v>5.5</v>
      </c>
      <c r="CR97" s="3">
        <v>9</v>
      </c>
    </row>
    <row r="98" ht="15" customHeight="1" spans="1:96">
      <c r="A98" s="164">
        <v>3</v>
      </c>
      <c r="B98" s="58" t="s">
        <v>364</v>
      </c>
      <c r="C98" s="59">
        <v>1</v>
      </c>
      <c r="D98" s="201">
        <f>D96</f>
        <v>100</v>
      </c>
      <c r="E98" s="166" t="s">
        <v>164</v>
      </c>
      <c r="F98" s="167">
        <v>5.5</v>
      </c>
      <c r="G98" s="63">
        <f>C98*F98</f>
        <v>5.5</v>
      </c>
      <c r="H98" s="263"/>
      <c r="I98" s="275"/>
      <c r="CQ98" s="3">
        <v>4.5</v>
      </c>
      <c r="CR98" s="3">
        <v>5.5</v>
      </c>
    </row>
    <row r="99" ht="15" customHeight="1" spans="1:9">
      <c r="A99" s="164">
        <v>4</v>
      </c>
      <c r="B99" s="58" t="s">
        <v>365</v>
      </c>
      <c r="C99" s="59">
        <v>1</v>
      </c>
      <c r="D99" s="201"/>
      <c r="E99" s="166" t="s">
        <v>161</v>
      </c>
      <c r="F99" s="167">
        <v>280</v>
      </c>
      <c r="G99" s="63">
        <f>C99*F99</f>
        <v>280</v>
      </c>
      <c r="H99" s="263"/>
      <c r="I99" s="275"/>
    </row>
    <row r="100" ht="15" customHeight="1" spans="1:9">
      <c r="A100" s="164">
        <v>5</v>
      </c>
      <c r="B100" s="58" t="s">
        <v>366</v>
      </c>
      <c r="C100" s="59">
        <v>1</v>
      </c>
      <c r="D100" s="201">
        <f>D97</f>
        <v>100</v>
      </c>
      <c r="E100" s="166" t="s">
        <v>164</v>
      </c>
      <c r="F100" s="167">
        <v>4</v>
      </c>
      <c r="G100" s="63">
        <f>C100*F100</f>
        <v>4</v>
      </c>
      <c r="H100" s="263"/>
      <c r="I100" s="275" t="s">
        <v>367</v>
      </c>
    </row>
    <row r="101" ht="15.9" customHeight="1" spans="1:9">
      <c r="A101" s="255" t="s">
        <v>368</v>
      </c>
      <c r="B101" s="256"/>
      <c r="C101" s="59"/>
      <c r="D101" s="257"/>
      <c r="E101" s="256"/>
      <c r="F101" s="258"/>
      <c r="G101" s="259"/>
      <c r="H101" s="256"/>
      <c r="I101" s="274"/>
    </row>
    <row r="102" ht="61.5" customHeight="1" spans="1:9">
      <c r="A102" s="164">
        <v>1</v>
      </c>
      <c r="B102" s="260" t="s">
        <v>369</v>
      </c>
      <c r="C102" s="59">
        <v>1</v>
      </c>
      <c r="D102" s="201">
        <f>IF(C13=0,0,IF(H102="沿墙沿地",(C13)*20+18,IF(H102="沿墙沿顶",(C13)*40+26)))</f>
        <v>38</v>
      </c>
      <c r="E102" s="166" t="s">
        <v>187</v>
      </c>
      <c r="F102" s="62">
        <v>52</v>
      </c>
      <c r="G102" s="63">
        <f>C102*F102</f>
        <v>52</v>
      </c>
      <c r="H102" s="174" t="s">
        <v>165</v>
      </c>
      <c r="I102" s="100" t="s">
        <v>370</v>
      </c>
    </row>
    <row r="103" customHeight="1" spans="1:9">
      <c r="A103" s="250"/>
      <c r="B103" s="264"/>
      <c r="C103" s="159"/>
      <c r="D103" s="252"/>
      <c r="E103" s="251"/>
      <c r="F103" s="161"/>
      <c r="G103" s="253" t="s">
        <v>358</v>
      </c>
      <c r="H103" s="254">
        <f>SUM(G95:G103)</f>
        <v>364</v>
      </c>
      <c r="I103" s="273"/>
    </row>
    <row r="104" ht="15.9" customHeight="1" spans="1:9">
      <c r="A104" s="255" t="s">
        <v>371</v>
      </c>
      <c r="B104" s="256"/>
      <c r="C104" s="159"/>
      <c r="D104" s="257"/>
      <c r="E104" s="256"/>
      <c r="F104" s="258"/>
      <c r="G104" s="259"/>
      <c r="H104" s="256"/>
      <c r="I104" s="274"/>
    </row>
    <row r="105" s="113" customFormat="1" ht="16.5" customHeight="1" spans="1:9">
      <c r="A105" s="157" t="s">
        <v>15</v>
      </c>
      <c r="B105" s="158" t="s">
        <v>16</v>
      </c>
      <c r="C105" s="159" t="s">
        <v>17</v>
      </c>
      <c r="D105" s="160" t="s">
        <v>96</v>
      </c>
      <c r="E105" s="158" t="s">
        <v>18</v>
      </c>
      <c r="F105" s="161" t="s">
        <v>19</v>
      </c>
      <c r="G105" s="162" t="s">
        <v>149</v>
      </c>
      <c r="H105" s="163" t="s">
        <v>150</v>
      </c>
      <c r="I105" s="224" t="s">
        <v>22</v>
      </c>
    </row>
    <row r="106" customHeight="1" spans="1:9">
      <c r="A106" s="164">
        <v>1</v>
      </c>
      <c r="B106" s="58" t="str">
        <f>IF(H106="标门","工艺门(800×2000)","工艺门(800×2200)")</f>
        <v>工艺门(800×2200)</v>
      </c>
      <c r="C106" s="59">
        <v>1</v>
      </c>
      <c r="D106" s="186"/>
      <c r="E106" s="166" t="s">
        <v>195</v>
      </c>
      <c r="F106" s="62">
        <v>1380</v>
      </c>
      <c r="G106" s="63">
        <f>C106*F106</f>
        <v>1380</v>
      </c>
      <c r="H106" s="213"/>
      <c r="I106" s="97" t="s">
        <v>372</v>
      </c>
    </row>
    <row r="107" ht="15.75" customHeight="1" spans="1:9">
      <c r="A107" s="164">
        <v>2</v>
      </c>
      <c r="B107" s="58" t="str">
        <f>IF(H107="标门","欧式门(800×2000)","欧式门(800×2200)")</f>
        <v>欧式门(800×2200)</v>
      </c>
      <c r="C107" s="59">
        <v>1</v>
      </c>
      <c r="D107" s="186"/>
      <c r="E107" s="166" t="s">
        <v>195</v>
      </c>
      <c r="F107" s="62">
        <v>1380</v>
      </c>
      <c r="G107" s="63">
        <f t="shared" ref="G107:G136" si="3">C107*F107</f>
        <v>1380</v>
      </c>
      <c r="H107" s="213"/>
      <c r="I107" s="97" t="s">
        <v>373</v>
      </c>
    </row>
    <row r="108" ht="15" customHeight="1" spans="1:9">
      <c r="A108" s="164">
        <v>3</v>
      </c>
      <c r="B108" s="58" t="s">
        <v>374</v>
      </c>
      <c r="C108" s="59">
        <v>1</v>
      </c>
      <c r="D108" s="186"/>
      <c r="E108" s="166" t="s">
        <v>164</v>
      </c>
      <c r="F108" s="62">
        <v>580</v>
      </c>
      <c r="G108" s="63">
        <f t="shared" si="3"/>
        <v>580</v>
      </c>
      <c r="H108" s="213"/>
      <c r="I108" s="101" t="s">
        <v>375</v>
      </c>
    </row>
    <row r="109" customHeight="1" spans="1:9">
      <c r="A109" s="164">
        <v>4</v>
      </c>
      <c r="B109" s="58" t="s">
        <v>376</v>
      </c>
      <c r="C109" s="59">
        <v>1</v>
      </c>
      <c r="D109" s="186"/>
      <c r="E109" s="166" t="s">
        <v>187</v>
      </c>
      <c r="F109" s="167">
        <v>90</v>
      </c>
      <c r="G109" s="63">
        <f t="shared" si="3"/>
        <v>90</v>
      </c>
      <c r="H109" s="213"/>
      <c r="I109" s="275" t="s">
        <v>377</v>
      </c>
    </row>
    <row r="110" customHeight="1" spans="1:9">
      <c r="A110" s="164">
        <v>5</v>
      </c>
      <c r="B110" s="58" t="s">
        <v>378</v>
      </c>
      <c r="C110" s="59">
        <v>1</v>
      </c>
      <c r="D110" s="186"/>
      <c r="E110" s="166" t="s">
        <v>187</v>
      </c>
      <c r="F110" s="167">
        <v>99</v>
      </c>
      <c r="G110" s="63">
        <f t="shared" si="3"/>
        <v>99</v>
      </c>
      <c r="H110" s="213"/>
      <c r="I110" s="275"/>
    </row>
    <row r="111" customHeight="1" spans="1:9">
      <c r="A111" s="164">
        <v>6</v>
      </c>
      <c r="B111" s="58" t="s">
        <v>379</v>
      </c>
      <c r="C111" s="59">
        <v>1</v>
      </c>
      <c r="D111" s="186"/>
      <c r="E111" s="166" t="s">
        <v>187</v>
      </c>
      <c r="F111" s="167">
        <v>75</v>
      </c>
      <c r="G111" s="63">
        <f t="shared" si="3"/>
        <v>75</v>
      </c>
      <c r="H111" s="213"/>
      <c r="I111" s="101" t="s">
        <v>380</v>
      </c>
    </row>
    <row r="112" ht="15" customHeight="1" spans="1:9">
      <c r="A112" s="164">
        <v>7</v>
      </c>
      <c r="B112" s="58" t="s">
        <v>381</v>
      </c>
      <c r="C112" s="59">
        <v>1</v>
      </c>
      <c r="D112" s="186"/>
      <c r="E112" s="166" t="s">
        <v>187</v>
      </c>
      <c r="F112" s="167">
        <v>52</v>
      </c>
      <c r="G112" s="63">
        <f t="shared" si="3"/>
        <v>52</v>
      </c>
      <c r="H112" s="213"/>
      <c r="I112" s="101" t="s">
        <v>382</v>
      </c>
    </row>
    <row r="113" ht="15" customHeight="1" spans="1:9">
      <c r="A113" s="164">
        <v>8</v>
      </c>
      <c r="B113" s="58" t="s">
        <v>383</v>
      </c>
      <c r="C113" s="59">
        <v>1</v>
      </c>
      <c r="D113" s="186"/>
      <c r="E113" s="166" t="s">
        <v>187</v>
      </c>
      <c r="F113" s="167">
        <v>72</v>
      </c>
      <c r="G113" s="63">
        <f t="shared" si="3"/>
        <v>72</v>
      </c>
      <c r="H113" s="213"/>
      <c r="I113" s="101" t="s">
        <v>382</v>
      </c>
    </row>
    <row r="114" ht="15" customHeight="1" spans="1:9">
      <c r="A114" s="164">
        <v>9</v>
      </c>
      <c r="B114" s="58" t="s">
        <v>384</v>
      </c>
      <c r="C114" s="59">
        <v>1</v>
      </c>
      <c r="D114" s="186"/>
      <c r="E114" s="166" t="s">
        <v>187</v>
      </c>
      <c r="F114" s="167">
        <v>95</v>
      </c>
      <c r="G114" s="63">
        <f t="shared" si="3"/>
        <v>95</v>
      </c>
      <c r="H114" s="213"/>
      <c r="I114" s="101" t="s">
        <v>382</v>
      </c>
    </row>
    <row r="115" ht="15" customHeight="1" spans="1:9">
      <c r="A115" s="164">
        <v>10</v>
      </c>
      <c r="B115" s="58" t="s">
        <v>385</v>
      </c>
      <c r="C115" s="59">
        <v>1</v>
      </c>
      <c r="D115" s="186"/>
      <c r="E115" s="166" t="s">
        <v>187</v>
      </c>
      <c r="F115" s="167">
        <v>30</v>
      </c>
      <c r="G115" s="63">
        <f t="shared" si="3"/>
        <v>30</v>
      </c>
      <c r="H115" s="213"/>
      <c r="I115" s="101" t="s">
        <v>386</v>
      </c>
    </row>
    <row r="116" ht="15" customHeight="1" spans="1:9">
      <c r="A116" s="164">
        <v>11</v>
      </c>
      <c r="B116" s="187" t="s">
        <v>387</v>
      </c>
      <c r="C116" s="59">
        <v>1</v>
      </c>
      <c r="D116" s="186"/>
      <c r="E116" s="166" t="s">
        <v>187</v>
      </c>
      <c r="F116" s="167">
        <v>50</v>
      </c>
      <c r="G116" s="63">
        <f t="shared" si="3"/>
        <v>50</v>
      </c>
      <c r="H116" s="213"/>
      <c r="I116" s="101" t="s">
        <v>388</v>
      </c>
    </row>
    <row r="117" customHeight="1" spans="1:9">
      <c r="A117" s="164">
        <v>12</v>
      </c>
      <c r="B117" s="58" t="s">
        <v>389</v>
      </c>
      <c r="C117" s="59">
        <v>1</v>
      </c>
      <c r="D117" s="186"/>
      <c r="E117" s="166" t="s">
        <v>187</v>
      </c>
      <c r="F117" s="167">
        <v>70</v>
      </c>
      <c r="G117" s="63">
        <f t="shared" si="3"/>
        <v>70</v>
      </c>
      <c r="H117" s="213"/>
      <c r="I117" s="101" t="s">
        <v>390</v>
      </c>
    </row>
    <row r="118" s="111" customFormat="1" customHeight="1" spans="1:79">
      <c r="A118" s="164">
        <v>13</v>
      </c>
      <c r="B118" s="199" t="s">
        <v>391</v>
      </c>
      <c r="C118" s="59">
        <v>1</v>
      </c>
      <c r="D118" s="196"/>
      <c r="E118" s="197" t="s">
        <v>187</v>
      </c>
      <c r="F118" s="62">
        <v>55</v>
      </c>
      <c r="G118" s="198">
        <f t="shared" si="3"/>
        <v>55</v>
      </c>
      <c r="H118" s="213"/>
      <c r="I118" s="97" t="s">
        <v>392</v>
      </c>
      <c r="J118" s="230"/>
      <c r="AA118" s="233" t="s">
        <v>393</v>
      </c>
      <c r="AB118" s="233" t="s">
        <v>394</v>
      </c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6"/>
      <c r="BU118" s="236"/>
      <c r="BV118" s="236"/>
      <c r="BW118" s="236"/>
      <c r="BX118" s="236"/>
      <c r="BY118" s="236"/>
      <c r="BZ118" s="236"/>
      <c r="CA118" s="236"/>
    </row>
    <row r="119" customHeight="1" spans="1:9">
      <c r="A119" s="164">
        <v>14</v>
      </c>
      <c r="B119" s="58" t="s">
        <v>395</v>
      </c>
      <c r="C119" s="59">
        <v>1</v>
      </c>
      <c r="D119" s="186"/>
      <c r="E119" s="166" t="s">
        <v>187</v>
      </c>
      <c r="F119" s="62">
        <v>15</v>
      </c>
      <c r="G119" s="63">
        <f t="shared" si="3"/>
        <v>15</v>
      </c>
      <c r="H119" s="174" t="s">
        <v>396</v>
      </c>
      <c r="I119" s="276" t="s">
        <v>397</v>
      </c>
    </row>
    <row r="120" ht="23.25" customHeight="1" spans="1:9">
      <c r="A120" s="164">
        <v>15</v>
      </c>
      <c r="B120" s="265" t="s">
        <v>398</v>
      </c>
      <c r="C120" s="59">
        <v>1</v>
      </c>
      <c r="D120" s="186"/>
      <c r="E120" s="166" t="s">
        <v>187</v>
      </c>
      <c r="F120" s="62">
        <v>22.5</v>
      </c>
      <c r="G120" s="63">
        <f t="shared" si="3"/>
        <v>22.5</v>
      </c>
      <c r="H120" s="174" t="s">
        <v>399</v>
      </c>
      <c r="I120" s="277" t="s">
        <v>400</v>
      </c>
    </row>
    <row r="121" s="111" customFormat="1" customHeight="1" spans="1:79">
      <c r="A121" s="164">
        <v>16</v>
      </c>
      <c r="B121" s="199" t="s">
        <v>401</v>
      </c>
      <c r="C121" s="59">
        <v>1</v>
      </c>
      <c r="D121" s="196"/>
      <c r="E121" s="197" t="s">
        <v>164</v>
      </c>
      <c r="F121" s="62">
        <v>148</v>
      </c>
      <c r="G121" s="198">
        <f t="shared" si="3"/>
        <v>148</v>
      </c>
      <c r="H121" s="174" t="s">
        <v>402</v>
      </c>
      <c r="I121" s="278" t="s">
        <v>403</v>
      </c>
      <c r="J121" s="230"/>
      <c r="Z121" s="234" t="s">
        <v>402</v>
      </c>
      <c r="AA121" s="234" t="s">
        <v>404</v>
      </c>
      <c r="AB121" s="283" t="s">
        <v>402</v>
      </c>
      <c r="AC121" s="234"/>
      <c r="AD121" s="234"/>
      <c r="AE121" s="234">
        <f>IF(H121=Z121,AF121,IF(H121=AA121,AH121))</f>
        <v>125</v>
      </c>
      <c r="AF121" s="233">
        <v>125</v>
      </c>
      <c r="AG121" s="233"/>
      <c r="AH121" s="233">
        <f>AF121+30</f>
        <v>155</v>
      </c>
      <c r="AI121" s="233"/>
      <c r="AJ121" s="233"/>
      <c r="AK121" s="233"/>
      <c r="AL121" s="233"/>
      <c r="AM121" s="233"/>
      <c r="AN121" s="233"/>
      <c r="AO121" s="233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/>
      <c r="BW121" s="236"/>
      <c r="BX121" s="236"/>
      <c r="BY121" s="236"/>
      <c r="BZ121" s="236"/>
      <c r="CA121" s="236"/>
    </row>
    <row r="122" s="111" customFormat="1" customHeight="1" spans="1:79">
      <c r="A122" s="164">
        <v>17</v>
      </c>
      <c r="B122" s="199" t="s">
        <v>405</v>
      </c>
      <c r="C122" s="59">
        <v>1</v>
      </c>
      <c r="D122" s="196"/>
      <c r="E122" s="197" t="s">
        <v>164</v>
      </c>
      <c r="F122" s="62">
        <v>168</v>
      </c>
      <c r="G122" s="198">
        <f t="shared" si="3"/>
        <v>168</v>
      </c>
      <c r="H122" s="174" t="s">
        <v>402</v>
      </c>
      <c r="I122" s="278"/>
      <c r="J122" s="230"/>
      <c r="Z122" s="234" t="s">
        <v>402</v>
      </c>
      <c r="AA122" s="234" t="s">
        <v>404</v>
      </c>
      <c r="AB122" s="283" t="s">
        <v>402</v>
      </c>
      <c r="AC122" s="234"/>
      <c r="AD122" s="234"/>
      <c r="AE122" s="234">
        <f>IF(H122=Z122,AF122,IF(H122=AA122,AH122))</f>
        <v>145</v>
      </c>
      <c r="AF122" s="233">
        <v>145</v>
      </c>
      <c r="AG122" s="233"/>
      <c r="AH122" s="233">
        <f>AF122+30</f>
        <v>175</v>
      </c>
      <c r="AI122" s="233"/>
      <c r="AJ122" s="233"/>
      <c r="AK122" s="233"/>
      <c r="AL122" s="233"/>
      <c r="AM122" s="233"/>
      <c r="AN122" s="233"/>
      <c r="AO122" s="233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</row>
    <row r="123" ht="24" customHeight="1" spans="1:9">
      <c r="A123" s="164">
        <v>18</v>
      </c>
      <c r="B123" s="58" t="s">
        <v>406</v>
      </c>
      <c r="C123" s="59">
        <v>1</v>
      </c>
      <c r="D123" s="186"/>
      <c r="E123" s="166" t="s">
        <v>164</v>
      </c>
      <c r="F123" s="62">
        <v>95</v>
      </c>
      <c r="G123" s="63">
        <f t="shared" si="3"/>
        <v>95</v>
      </c>
      <c r="H123" s="213"/>
      <c r="I123" s="101" t="s">
        <v>407</v>
      </c>
    </row>
    <row r="124" s="119" customFormat="1" customHeight="1" spans="1:79">
      <c r="A124" s="164">
        <v>19</v>
      </c>
      <c r="B124" s="266" t="s">
        <v>408</v>
      </c>
      <c r="C124" s="59">
        <v>1</v>
      </c>
      <c r="D124" s="196"/>
      <c r="E124" s="197" t="s">
        <v>164</v>
      </c>
      <c r="F124" s="62">
        <v>180</v>
      </c>
      <c r="G124" s="198">
        <f t="shared" si="3"/>
        <v>180</v>
      </c>
      <c r="H124" s="174" t="s">
        <v>409</v>
      </c>
      <c r="I124" s="279" t="s">
        <v>410</v>
      </c>
      <c r="J124" s="280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6"/>
      <c r="AQ124" s="286"/>
      <c r="AR124" s="286"/>
      <c r="AS124" s="286"/>
      <c r="AT124" s="286"/>
      <c r="AU124" s="286"/>
      <c r="AV124" s="286"/>
      <c r="AW124" s="286"/>
      <c r="AX124" s="286"/>
      <c r="AY124" s="286"/>
      <c r="AZ124" s="286"/>
      <c r="BA124" s="286"/>
      <c r="BB124" s="286"/>
      <c r="BC124" s="286"/>
      <c r="BD124" s="286"/>
      <c r="BE124" s="286"/>
      <c r="BF124" s="286"/>
      <c r="BG124" s="286"/>
      <c r="BH124" s="286"/>
      <c r="BI124" s="286"/>
      <c r="BJ124" s="286"/>
      <c r="BK124" s="286"/>
      <c r="BL124" s="286"/>
      <c r="BM124" s="286"/>
      <c r="BN124" s="286"/>
      <c r="BO124" s="286"/>
      <c r="BP124" s="286"/>
      <c r="BQ124" s="286"/>
      <c r="BR124" s="286"/>
      <c r="BS124" s="286"/>
      <c r="BT124" s="286"/>
      <c r="BU124" s="286"/>
      <c r="BV124" s="286"/>
      <c r="BW124" s="286"/>
      <c r="BX124" s="286"/>
      <c r="BY124" s="286"/>
      <c r="BZ124" s="286"/>
      <c r="CA124" s="286"/>
    </row>
    <row r="125" s="119" customFormat="1" customHeight="1" spans="1:79">
      <c r="A125" s="164">
        <v>20</v>
      </c>
      <c r="B125" s="266" t="s">
        <v>411</v>
      </c>
      <c r="C125" s="59">
        <v>1</v>
      </c>
      <c r="D125" s="196"/>
      <c r="E125" s="197" t="s">
        <v>187</v>
      </c>
      <c r="F125" s="62">
        <v>130</v>
      </c>
      <c r="G125" s="198">
        <f t="shared" si="3"/>
        <v>130</v>
      </c>
      <c r="H125" s="174"/>
      <c r="I125" s="279" t="s">
        <v>412</v>
      </c>
      <c r="J125" s="280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6"/>
      <c r="AQ125" s="286"/>
      <c r="AR125" s="286"/>
      <c r="AS125" s="286"/>
      <c r="AT125" s="286"/>
      <c r="AU125" s="286"/>
      <c r="AV125" s="286"/>
      <c r="AW125" s="286"/>
      <c r="AX125" s="286"/>
      <c r="AY125" s="286"/>
      <c r="AZ125" s="286"/>
      <c r="BA125" s="286"/>
      <c r="BB125" s="286"/>
      <c r="BC125" s="286"/>
      <c r="BD125" s="286"/>
      <c r="BE125" s="286"/>
      <c r="BF125" s="286"/>
      <c r="BG125" s="286"/>
      <c r="BH125" s="286"/>
      <c r="BI125" s="286"/>
      <c r="BJ125" s="286"/>
      <c r="BK125" s="286"/>
      <c r="BL125" s="286"/>
      <c r="BM125" s="286"/>
      <c r="BN125" s="286"/>
      <c r="BO125" s="286"/>
      <c r="BP125" s="286"/>
      <c r="BQ125" s="286"/>
      <c r="BR125" s="286"/>
      <c r="BS125" s="286"/>
      <c r="BT125" s="286"/>
      <c r="BU125" s="286"/>
      <c r="BV125" s="286"/>
      <c r="BW125" s="286"/>
      <c r="BX125" s="286"/>
      <c r="BY125" s="286"/>
      <c r="BZ125" s="286"/>
      <c r="CA125" s="286"/>
    </row>
    <row r="126" s="119" customFormat="1" customHeight="1" spans="1:79">
      <c r="A126" s="164">
        <v>21</v>
      </c>
      <c r="B126" s="266" t="s">
        <v>413</v>
      </c>
      <c r="C126" s="59">
        <v>1</v>
      </c>
      <c r="D126" s="196"/>
      <c r="E126" s="197" t="s">
        <v>164</v>
      </c>
      <c r="F126" s="62">
        <v>245</v>
      </c>
      <c r="G126" s="198">
        <f t="shared" si="3"/>
        <v>245</v>
      </c>
      <c r="H126" s="174" t="s">
        <v>409</v>
      </c>
      <c r="I126" s="279" t="s">
        <v>414</v>
      </c>
      <c r="J126" s="280"/>
      <c r="Z126" s="282" t="s">
        <v>409</v>
      </c>
      <c r="AA126" s="282" t="s">
        <v>415</v>
      </c>
      <c r="AB126" s="282" t="s">
        <v>409</v>
      </c>
      <c r="AC126" s="282">
        <v>245</v>
      </c>
      <c r="AD126" s="282">
        <f>AC126+80</f>
        <v>325</v>
      </c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6"/>
      <c r="AQ126" s="286"/>
      <c r="AR126" s="286"/>
      <c r="AS126" s="286"/>
      <c r="AT126" s="286"/>
      <c r="AU126" s="286"/>
      <c r="AV126" s="286"/>
      <c r="AW126" s="286"/>
      <c r="AX126" s="286"/>
      <c r="AY126" s="286"/>
      <c r="AZ126" s="286"/>
      <c r="BA126" s="286"/>
      <c r="BB126" s="286"/>
      <c r="BC126" s="286"/>
      <c r="BD126" s="286"/>
      <c r="BE126" s="286"/>
      <c r="BF126" s="286"/>
      <c r="BG126" s="286"/>
      <c r="BH126" s="286"/>
      <c r="BI126" s="286"/>
      <c r="BJ126" s="286"/>
      <c r="BK126" s="286"/>
      <c r="BL126" s="286"/>
      <c r="BM126" s="286"/>
      <c r="BN126" s="286"/>
      <c r="BO126" s="286"/>
      <c r="BP126" s="286"/>
      <c r="BQ126" s="286"/>
      <c r="BR126" s="286"/>
      <c r="BS126" s="286"/>
      <c r="BT126" s="286"/>
      <c r="BU126" s="286"/>
      <c r="BV126" s="286"/>
      <c r="BW126" s="286"/>
      <c r="BX126" s="286"/>
      <c r="BY126" s="286"/>
      <c r="BZ126" s="286"/>
      <c r="CA126" s="286"/>
    </row>
    <row r="127" s="119" customFormat="1" customHeight="1" spans="1:79">
      <c r="A127" s="164">
        <v>22</v>
      </c>
      <c r="B127" s="267" t="s">
        <v>416</v>
      </c>
      <c r="C127" s="59">
        <v>1</v>
      </c>
      <c r="D127" s="196"/>
      <c r="E127" s="268" t="s">
        <v>164</v>
      </c>
      <c r="F127" s="62">
        <v>350</v>
      </c>
      <c r="G127" s="198">
        <f t="shared" si="3"/>
        <v>350</v>
      </c>
      <c r="H127" s="174" t="s">
        <v>409</v>
      </c>
      <c r="I127" s="281" t="s">
        <v>417</v>
      </c>
      <c r="J127" s="280"/>
      <c r="Z127" s="282" t="s">
        <v>409</v>
      </c>
      <c r="AA127" s="282" t="s">
        <v>415</v>
      </c>
      <c r="AB127" s="282" t="s">
        <v>409</v>
      </c>
      <c r="AC127" s="282">
        <v>350</v>
      </c>
      <c r="AD127" s="282">
        <f>AC127+80</f>
        <v>430</v>
      </c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6"/>
      <c r="AQ127" s="286"/>
      <c r="AR127" s="286"/>
      <c r="AS127" s="286"/>
      <c r="AT127" s="286"/>
      <c r="AU127" s="286"/>
      <c r="AV127" s="286"/>
      <c r="AW127" s="286"/>
      <c r="AX127" s="286"/>
      <c r="AY127" s="286"/>
      <c r="AZ127" s="286"/>
      <c r="BA127" s="286"/>
      <c r="BB127" s="286"/>
      <c r="BC127" s="286"/>
      <c r="BD127" s="286"/>
      <c r="BE127" s="286"/>
      <c r="BF127" s="286"/>
      <c r="BG127" s="286"/>
      <c r="BH127" s="286"/>
      <c r="BI127" s="286"/>
      <c r="BJ127" s="286"/>
      <c r="BK127" s="286"/>
      <c r="BL127" s="286"/>
      <c r="BM127" s="286"/>
      <c r="BN127" s="286"/>
      <c r="BO127" s="286"/>
      <c r="BP127" s="286"/>
      <c r="BQ127" s="286"/>
      <c r="BR127" s="286"/>
      <c r="BS127" s="286"/>
      <c r="BT127" s="286"/>
      <c r="BU127" s="286"/>
      <c r="BV127" s="286"/>
      <c r="BW127" s="286"/>
      <c r="BX127" s="286"/>
      <c r="BY127" s="286"/>
      <c r="BZ127" s="286"/>
      <c r="CA127" s="286"/>
    </row>
    <row r="128" s="111" customFormat="1" customHeight="1" spans="1:25">
      <c r="A128" s="164">
        <v>23</v>
      </c>
      <c r="B128" s="199" t="s">
        <v>418</v>
      </c>
      <c r="C128" s="59">
        <v>1</v>
      </c>
      <c r="D128" s="196"/>
      <c r="E128" s="269" t="s">
        <v>164</v>
      </c>
      <c r="F128" s="62">
        <v>120</v>
      </c>
      <c r="G128" s="198">
        <f t="shared" si="3"/>
        <v>120</v>
      </c>
      <c r="H128" s="174" t="s">
        <v>419</v>
      </c>
      <c r="I128" s="97" t="s">
        <v>420</v>
      </c>
      <c r="J128" s="230"/>
      <c r="L128" s="282" t="s">
        <v>419</v>
      </c>
      <c r="M128" s="282" t="s">
        <v>421</v>
      </c>
      <c r="N128" s="282">
        <v>120</v>
      </c>
      <c r="O128" s="282">
        <v>180</v>
      </c>
      <c r="P128" s="283"/>
      <c r="Q128" s="233" t="s">
        <v>422</v>
      </c>
      <c r="R128" s="233" t="s">
        <v>423</v>
      </c>
      <c r="S128" s="233" t="s">
        <v>424</v>
      </c>
      <c r="T128" s="233" t="s">
        <v>425</v>
      </c>
      <c r="U128" s="233" t="s">
        <v>426</v>
      </c>
      <c r="V128" s="233" t="s">
        <v>427</v>
      </c>
      <c r="W128" s="233" t="s">
        <v>428</v>
      </c>
      <c r="X128" s="233" t="s">
        <v>429</v>
      </c>
      <c r="Y128" s="283">
        <v>160</v>
      </c>
    </row>
    <row r="129" ht="15" customHeight="1" spans="1:9">
      <c r="A129" s="164">
        <v>24</v>
      </c>
      <c r="B129" s="58" t="s">
        <v>430</v>
      </c>
      <c r="C129" s="59">
        <v>1</v>
      </c>
      <c r="D129" s="186"/>
      <c r="E129" s="175" t="s">
        <v>164</v>
      </c>
      <c r="F129" s="167">
        <v>420</v>
      </c>
      <c r="G129" s="63">
        <f t="shared" si="3"/>
        <v>420</v>
      </c>
      <c r="H129" s="213"/>
      <c r="I129" s="101" t="s">
        <v>431</v>
      </c>
    </row>
    <row r="130" s="120" customFormat="1" ht="24.75" customHeight="1" spans="1:9">
      <c r="A130" s="164">
        <v>25</v>
      </c>
      <c r="B130" s="288" t="s">
        <v>432</v>
      </c>
      <c r="C130" s="59">
        <v>1</v>
      </c>
      <c r="D130" s="186"/>
      <c r="E130" s="289" t="s">
        <v>164</v>
      </c>
      <c r="F130" s="62">
        <v>265</v>
      </c>
      <c r="G130" s="63">
        <f t="shared" si="3"/>
        <v>265</v>
      </c>
      <c r="H130" s="168"/>
      <c r="I130" s="281" t="s">
        <v>433</v>
      </c>
    </row>
    <row r="131" s="121" customFormat="1" ht="15" customHeight="1" spans="1:9">
      <c r="A131" s="164">
        <v>26</v>
      </c>
      <c r="B131" s="288" t="s">
        <v>434</v>
      </c>
      <c r="C131" s="59">
        <v>1</v>
      </c>
      <c r="D131" s="186"/>
      <c r="E131" s="289" t="s">
        <v>164</v>
      </c>
      <c r="F131" s="62">
        <v>560</v>
      </c>
      <c r="G131" s="63">
        <f t="shared" si="3"/>
        <v>560</v>
      </c>
      <c r="H131" s="290"/>
      <c r="I131" s="226" t="s">
        <v>435</v>
      </c>
    </row>
    <row r="132" s="121" customFormat="1" ht="15" customHeight="1" spans="1:9">
      <c r="A132" s="164">
        <v>27</v>
      </c>
      <c r="B132" s="288" t="s">
        <v>436</v>
      </c>
      <c r="C132" s="59">
        <v>1</v>
      </c>
      <c r="D132" s="186"/>
      <c r="E132" s="291" t="s">
        <v>187</v>
      </c>
      <c r="F132" s="167">
        <v>960</v>
      </c>
      <c r="G132" s="63">
        <f t="shared" si="3"/>
        <v>960</v>
      </c>
      <c r="H132" s="290"/>
      <c r="I132" s="226" t="s">
        <v>437</v>
      </c>
    </row>
    <row r="133" s="121" customFormat="1" ht="15" customHeight="1" spans="1:9">
      <c r="A133" s="164">
        <v>28</v>
      </c>
      <c r="B133" s="288" t="s">
        <v>438</v>
      </c>
      <c r="C133" s="59">
        <v>1</v>
      </c>
      <c r="D133" s="186"/>
      <c r="E133" s="289" t="s">
        <v>26</v>
      </c>
      <c r="F133" s="62">
        <v>280</v>
      </c>
      <c r="G133" s="63">
        <f t="shared" si="3"/>
        <v>280</v>
      </c>
      <c r="H133" s="290"/>
      <c r="I133" s="226" t="s">
        <v>439</v>
      </c>
    </row>
    <row r="134" s="122" customFormat="1" ht="15" customHeight="1" spans="1:9">
      <c r="A134" s="164">
        <v>29</v>
      </c>
      <c r="B134" s="292" t="s">
        <v>440</v>
      </c>
      <c r="C134" s="59">
        <v>1</v>
      </c>
      <c r="D134" s="186"/>
      <c r="E134" s="293" t="s">
        <v>164</v>
      </c>
      <c r="F134" s="62">
        <v>280</v>
      </c>
      <c r="G134" s="63">
        <f t="shared" si="3"/>
        <v>280</v>
      </c>
      <c r="H134" s="290"/>
      <c r="I134" s="328" t="s">
        <v>441</v>
      </c>
    </row>
    <row r="135" s="121" customFormat="1" ht="15" customHeight="1" spans="1:9">
      <c r="A135" s="164">
        <v>30</v>
      </c>
      <c r="B135" s="288" t="s">
        <v>442</v>
      </c>
      <c r="C135" s="59">
        <v>1</v>
      </c>
      <c r="D135" s="186"/>
      <c r="E135" s="289" t="s">
        <v>164</v>
      </c>
      <c r="F135" s="62">
        <v>230</v>
      </c>
      <c r="G135" s="63">
        <f t="shared" si="3"/>
        <v>230</v>
      </c>
      <c r="H135" s="64" t="s">
        <v>443</v>
      </c>
      <c r="I135" s="329" t="s">
        <v>444</v>
      </c>
    </row>
    <row r="136" s="121" customFormat="1" ht="22.5" customHeight="1" spans="1:9">
      <c r="A136" s="164">
        <v>31</v>
      </c>
      <c r="B136" s="288" t="s">
        <v>445</v>
      </c>
      <c r="C136" s="59">
        <v>1</v>
      </c>
      <c r="D136" s="186"/>
      <c r="E136" s="289" t="s">
        <v>164</v>
      </c>
      <c r="F136" s="62">
        <v>200</v>
      </c>
      <c r="G136" s="63">
        <f t="shared" si="3"/>
        <v>200</v>
      </c>
      <c r="H136" s="64"/>
      <c r="I136" s="226" t="s">
        <v>446</v>
      </c>
    </row>
    <row r="137" customHeight="1" spans="1:9">
      <c r="A137" s="250"/>
      <c r="B137" s="251"/>
      <c r="C137" s="159"/>
      <c r="D137" s="252"/>
      <c r="E137" s="251"/>
      <c r="F137" s="161"/>
      <c r="G137" s="253" t="s">
        <v>358</v>
      </c>
      <c r="H137" s="254">
        <f>SUM(G105:G137)</f>
        <v>8696.5</v>
      </c>
      <c r="I137" s="273"/>
    </row>
    <row r="138" ht="15.9" customHeight="1" spans="1:9">
      <c r="A138" s="255" t="s">
        <v>447</v>
      </c>
      <c r="B138" s="256"/>
      <c r="C138" s="159"/>
      <c r="D138" s="257"/>
      <c r="E138" s="256"/>
      <c r="F138" s="258"/>
      <c r="G138" s="259"/>
      <c r="H138" s="256"/>
      <c r="I138" s="274"/>
    </row>
    <row r="139" s="113" customFormat="1" ht="17.25" customHeight="1" spans="1:9">
      <c r="A139" s="157" t="s">
        <v>15</v>
      </c>
      <c r="B139" s="158" t="s">
        <v>16</v>
      </c>
      <c r="C139" s="159" t="s">
        <v>17</v>
      </c>
      <c r="D139" s="160" t="s">
        <v>96</v>
      </c>
      <c r="E139" s="158" t="s">
        <v>18</v>
      </c>
      <c r="F139" s="161" t="s">
        <v>19</v>
      </c>
      <c r="G139" s="162" t="s">
        <v>149</v>
      </c>
      <c r="H139" s="163" t="s">
        <v>150</v>
      </c>
      <c r="I139" s="224" t="s">
        <v>22</v>
      </c>
    </row>
    <row r="140" ht="17.25" customHeight="1" spans="1:9">
      <c r="A140" s="164">
        <v>1</v>
      </c>
      <c r="B140" s="58" t="s">
        <v>448</v>
      </c>
      <c r="C140" s="59">
        <v>1</v>
      </c>
      <c r="D140" s="186"/>
      <c r="E140" s="166" t="s">
        <v>164</v>
      </c>
      <c r="F140" s="62">
        <v>28</v>
      </c>
      <c r="G140" s="63">
        <f>C140*F140</f>
        <v>28</v>
      </c>
      <c r="H140" s="64"/>
      <c r="I140" s="100" t="s">
        <v>449</v>
      </c>
    </row>
    <row r="141" ht="17.25" customHeight="1" spans="1:9">
      <c r="A141" s="164">
        <v>2</v>
      </c>
      <c r="B141" s="58" t="s">
        <v>450</v>
      </c>
      <c r="C141" s="59">
        <v>1</v>
      </c>
      <c r="D141" s="186"/>
      <c r="E141" s="166" t="s">
        <v>164</v>
      </c>
      <c r="F141" s="62">
        <v>29</v>
      </c>
      <c r="G141" s="63">
        <f>C141*F141</f>
        <v>29</v>
      </c>
      <c r="H141" s="294"/>
      <c r="I141" s="100"/>
    </row>
    <row r="142" ht="17.25" customHeight="1" spans="1:9">
      <c r="A142" s="164">
        <v>3</v>
      </c>
      <c r="B142" s="58" t="s">
        <v>451</v>
      </c>
      <c r="C142" s="59">
        <v>1</v>
      </c>
      <c r="D142" s="186"/>
      <c r="E142" s="166" t="s">
        <v>164</v>
      </c>
      <c r="F142" s="62">
        <v>11</v>
      </c>
      <c r="G142" s="63">
        <f>C142*F142</f>
        <v>11</v>
      </c>
      <c r="H142" s="294"/>
      <c r="I142" s="100" t="s">
        <v>452</v>
      </c>
    </row>
    <row r="143" ht="39.75" customHeight="1" spans="1:9">
      <c r="A143" s="164">
        <v>4</v>
      </c>
      <c r="B143" s="58" t="s">
        <v>453</v>
      </c>
      <c r="C143" s="59">
        <v>1</v>
      </c>
      <c r="D143" s="186"/>
      <c r="E143" s="166" t="s">
        <v>164</v>
      </c>
      <c r="F143" s="62">
        <v>11</v>
      </c>
      <c r="G143" s="63">
        <f>C143*F143</f>
        <v>11</v>
      </c>
      <c r="H143" s="64"/>
      <c r="I143" s="330" t="s">
        <v>454</v>
      </c>
    </row>
    <row r="144" s="123" customFormat="1" ht="22.5" customHeight="1" spans="1:9">
      <c r="A144" s="164">
        <v>5</v>
      </c>
      <c r="B144" s="66" t="s">
        <v>455</v>
      </c>
      <c r="C144" s="189">
        <v>1</v>
      </c>
      <c r="D144" s="190"/>
      <c r="E144" s="67" t="s">
        <v>164</v>
      </c>
      <c r="F144" s="191">
        <v>22</v>
      </c>
      <c r="G144" s="192">
        <f>C144*F144</f>
        <v>22</v>
      </c>
      <c r="H144" s="295"/>
      <c r="I144" s="330" t="s">
        <v>456</v>
      </c>
    </row>
    <row r="145" ht="15" customHeight="1" spans="1:9">
      <c r="A145" s="164">
        <v>6</v>
      </c>
      <c r="B145" s="58" t="s">
        <v>457</v>
      </c>
      <c r="C145" s="59">
        <v>1</v>
      </c>
      <c r="D145" s="186"/>
      <c r="E145" s="166" t="s">
        <v>164</v>
      </c>
      <c r="F145" s="167">
        <v>9</v>
      </c>
      <c r="G145" s="63">
        <f t="shared" ref="G145:G152" si="4">C145*F145</f>
        <v>9</v>
      </c>
      <c r="H145" s="213"/>
      <c r="I145" s="101" t="s">
        <v>458</v>
      </c>
    </row>
    <row r="146" ht="15" customHeight="1" spans="1:9">
      <c r="A146" s="164">
        <v>7</v>
      </c>
      <c r="B146" s="58" t="s">
        <v>459</v>
      </c>
      <c r="C146" s="59">
        <v>1</v>
      </c>
      <c r="D146" s="201">
        <f>C62*1.1</f>
        <v>1.1</v>
      </c>
      <c r="E146" s="166" t="s">
        <v>164</v>
      </c>
      <c r="F146" s="167">
        <v>158</v>
      </c>
      <c r="G146" s="63">
        <f t="shared" si="4"/>
        <v>158</v>
      </c>
      <c r="H146" s="213"/>
      <c r="I146" s="330" t="s">
        <v>460</v>
      </c>
    </row>
    <row r="147" ht="15" customHeight="1" spans="1:9">
      <c r="A147" s="164">
        <v>8</v>
      </c>
      <c r="B147" s="58" t="s">
        <v>461</v>
      </c>
      <c r="C147" s="59">
        <v>1</v>
      </c>
      <c r="D147" s="186"/>
      <c r="E147" s="166" t="s">
        <v>187</v>
      </c>
      <c r="F147" s="167">
        <f>15+3</f>
        <v>18</v>
      </c>
      <c r="G147" s="63">
        <f t="shared" si="4"/>
        <v>18</v>
      </c>
      <c r="H147" s="213"/>
      <c r="I147" s="101" t="s">
        <v>462</v>
      </c>
    </row>
    <row r="148" s="117" customFormat="1" ht="36" customHeight="1" spans="1:145">
      <c r="A148" s="164">
        <v>9</v>
      </c>
      <c r="B148" s="199" t="s">
        <v>463</v>
      </c>
      <c r="C148" s="59">
        <v>1</v>
      </c>
      <c r="D148" s="296"/>
      <c r="E148" s="197" t="s">
        <v>187</v>
      </c>
      <c r="F148" s="297">
        <f>CT148</f>
        <v>1400</v>
      </c>
      <c r="G148" s="298">
        <f t="shared" si="4"/>
        <v>1400</v>
      </c>
      <c r="H148" s="299" t="s">
        <v>464</v>
      </c>
      <c r="I148" s="331" t="str">
        <f>IF(H148=CO148,CZ148,IF(H148=CP148,DA148,IF(H148=CQ148,DB148,IF(H148=CR148,DC148))))</f>
        <v>1.600mm宽750mm高内地柜采用：环保E1级18mm厚实木颗粒免漆板柜体；柜门：G型拉手18mm厚实木颗粒免漆板平板门；2.含15mm厚600mm宽内单色石英石台面、同质高度60mm内拼接直边挡水线，304合页、缓冲抽滑材料及安装，其它功能件仅安装；4.尺寸超标及其它另计费。</v>
      </c>
      <c r="J148" s="218"/>
      <c r="K148" s="270"/>
      <c r="L148" s="270"/>
      <c r="M148" s="270"/>
      <c r="N148" s="270"/>
      <c r="O148" s="270"/>
      <c r="P148" s="270"/>
      <c r="Q148" s="270"/>
      <c r="R148" s="270"/>
      <c r="S148" s="270"/>
      <c r="T148" s="270"/>
      <c r="U148" s="270"/>
      <c r="V148" s="270"/>
      <c r="W148" s="270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70"/>
      <c r="AS148" s="270"/>
      <c r="AT148" s="270"/>
      <c r="AU148" s="270"/>
      <c r="AV148" s="270"/>
      <c r="AW148" s="270"/>
      <c r="AX148" s="270"/>
      <c r="AY148" s="270"/>
      <c r="AZ148" s="270"/>
      <c r="BA148" s="270"/>
      <c r="BB148" s="270"/>
      <c r="BC148" s="270"/>
      <c r="BD148" s="270"/>
      <c r="BE148" s="270"/>
      <c r="BF148" s="270"/>
      <c r="BG148" s="270"/>
      <c r="BH148" s="270"/>
      <c r="BI148" s="270"/>
      <c r="BJ148" s="270"/>
      <c r="BK148" s="270"/>
      <c r="BL148" s="270"/>
      <c r="BM148" s="270"/>
      <c r="BN148" s="270"/>
      <c r="BO148" s="270"/>
      <c r="BP148" s="270"/>
      <c r="BQ148" s="270"/>
      <c r="BR148" s="270"/>
      <c r="BS148" s="270"/>
      <c r="BT148" s="270"/>
      <c r="BU148" s="270"/>
      <c r="BV148" s="270"/>
      <c r="BW148" s="270"/>
      <c r="BX148" s="270"/>
      <c r="BY148" s="270"/>
      <c r="BZ148" s="270"/>
      <c r="CA148" s="270"/>
      <c r="CB148" s="270"/>
      <c r="CC148" s="270"/>
      <c r="CD148" s="270"/>
      <c r="CE148" s="270"/>
      <c r="CF148" s="270"/>
      <c r="CG148" s="270"/>
      <c r="CH148" s="270"/>
      <c r="CI148" s="270"/>
      <c r="CJ148" s="270"/>
      <c r="CK148" s="270"/>
      <c r="CL148" s="270"/>
      <c r="CM148" s="270"/>
      <c r="CN148" s="270"/>
      <c r="CO148" s="218" t="s">
        <v>464</v>
      </c>
      <c r="CP148" s="218" t="s">
        <v>465</v>
      </c>
      <c r="CQ148" s="218" t="s">
        <v>466</v>
      </c>
      <c r="CR148" s="218" t="s">
        <v>467</v>
      </c>
      <c r="CS148" s="218"/>
      <c r="CT148" s="343">
        <f>IF(H148=CO148,CU148,IF(H148=CP148,CV148,IF(H148=CQ148,CW148,IF(H148=CR148,CX148))))</f>
        <v>1400</v>
      </c>
      <c r="CU148" s="218">
        <v>1400</v>
      </c>
      <c r="CV148" s="218">
        <v>1800</v>
      </c>
      <c r="CW148" s="218">
        <v>3215</v>
      </c>
      <c r="CX148" s="218">
        <v>4120</v>
      </c>
      <c r="CY148" s="233"/>
      <c r="CZ148" s="284" t="s">
        <v>468</v>
      </c>
      <c r="DA148" s="233" t="s">
        <v>469</v>
      </c>
      <c r="DB148" s="233" t="s">
        <v>470</v>
      </c>
      <c r="DC148" s="233" t="s">
        <v>471</v>
      </c>
      <c r="DD148" s="233"/>
      <c r="DE148" s="233"/>
      <c r="DG148" s="284"/>
      <c r="DH148" s="284"/>
      <c r="DI148" s="284"/>
      <c r="DJ148" s="284"/>
      <c r="DK148" s="284"/>
      <c r="DM148" s="284"/>
      <c r="DN148" s="284"/>
      <c r="DO148" s="349" t="b">
        <f>IF(H135="舒适",DP148,IF(H135="精英",DQ148,IF(H135="尊享",DR148,IF(H135="旗舰",DS148))))</f>
        <v>0</v>
      </c>
      <c r="DP148" s="345">
        <f>ROUND(909/C136,2)</f>
        <v>909</v>
      </c>
      <c r="DQ148" s="345">
        <f>ROUND(909/C136,2)</f>
        <v>909</v>
      </c>
      <c r="DR148" s="345">
        <f>ROUND(909/C136,2)</f>
        <v>909</v>
      </c>
      <c r="DS148" s="345">
        <f>ROUND(909/C136,2)</f>
        <v>909</v>
      </c>
      <c r="DT148" s="349" t="b">
        <f>IF(H135="舒适",DU148,IF(H135="精英",DV148,IF(H135="尊享",DW148,IF(H135="旗舰",DX148))))</f>
        <v>0</v>
      </c>
      <c r="DU148" s="345"/>
      <c r="DV148" s="145">
        <f>ROUND((3000*1.3+658)/C136,2)</f>
        <v>4558</v>
      </c>
      <c r="DW148" s="145">
        <f>ROUND((3800*1.3+1350)/C136,2)</f>
        <v>6290</v>
      </c>
      <c r="DX148" s="145">
        <f>ROUND((4383*1.3+1809)/C136,2)</f>
        <v>7506.9</v>
      </c>
      <c r="DY148" s="349" t="b">
        <f>IF(H135="舒适",DZ148,IF(H135="精英",EA148,IF(H135="尊享",EB148,IF(H135="旗舰",EC148))))</f>
        <v>0</v>
      </c>
      <c r="DZ148" s="345"/>
      <c r="EA148" s="345">
        <f>ROUND((3000*0.85)/C136,2)</f>
        <v>2550</v>
      </c>
      <c r="EB148" s="345">
        <f>ROUND((3800*0.85)/C136,2)</f>
        <v>3230</v>
      </c>
      <c r="EC148" s="345">
        <f>ROUND((4000*0.85)/C136,2)</f>
        <v>3400</v>
      </c>
      <c r="ED148" s="287"/>
      <c r="EE148" s="351" t="b">
        <f>IF(H135="舒适",EF148,IF(H135="精英",EG148,IF(H135="尊享",EH148,IF(H135="旗舰",EI148))))</f>
        <v>0</v>
      </c>
      <c r="EF148" s="287">
        <f>ROUND((420*1.3)/C136,2)</f>
        <v>546</v>
      </c>
      <c r="EG148" s="287">
        <f>ROUND((580*1.3)/C136,2)</f>
        <v>754</v>
      </c>
      <c r="EH148" s="287">
        <f>ROUND((1350*1.3)/C136,2)</f>
        <v>1755</v>
      </c>
      <c r="EI148" s="287">
        <f>ROUND((1809*1.3)/C136,2)</f>
        <v>2351.7</v>
      </c>
      <c r="EJ148" s="287"/>
      <c r="EK148" s="287"/>
      <c r="EL148" s="287"/>
      <c r="EM148" s="287"/>
      <c r="EN148" s="287"/>
      <c r="EO148" s="287"/>
    </row>
    <row r="149" s="117" customFormat="1" ht="36" customHeight="1" spans="1:145">
      <c r="A149" s="164">
        <v>10</v>
      </c>
      <c r="B149" s="199" t="s">
        <v>472</v>
      </c>
      <c r="C149" s="59">
        <v>1</v>
      </c>
      <c r="D149" s="296"/>
      <c r="E149" s="197" t="s">
        <v>187</v>
      </c>
      <c r="F149" s="297">
        <f>CT149</f>
        <v>900</v>
      </c>
      <c r="G149" s="298">
        <f t="shared" si="4"/>
        <v>900</v>
      </c>
      <c r="H149" s="299"/>
      <c r="I149" s="331" t="str">
        <f>IF(H148=CO148,CZ149,IF(H148=CP148,DA149,IF(H148=CQ148,DB149,IF(H148=CR148,DC149))))</f>
        <v>1.350mm深内700mm高内(超高可采用免漆板围板)吊柜：采用18mm厚实木颗粒免漆板柜体；柜门：G型拉手18mm厚实木颗粒免漆板平板门；2.2个内翻门气撑、304合页材料及安装，其它功能仅安装；3.尺寸超标及其它另计费。</v>
      </c>
      <c r="J149" s="218"/>
      <c r="K149" s="270"/>
      <c r="L149" s="270"/>
      <c r="M149" s="270"/>
      <c r="N149" s="270"/>
      <c r="O149" s="270"/>
      <c r="P149" s="270"/>
      <c r="Q149" s="270"/>
      <c r="R149" s="270"/>
      <c r="S149" s="270"/>
      <c r="T149" s="270"/>
      <c r="U149" s="270"/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70"/>
      <c r="AS149" s="270"/>
      <c r="AT149" s="270"/>
      <c r="AU149" s="270"/>
      <c r="AV149" s="270"/>
      <c r="AW149" s="270"/>
      <c r="AX149" s="270"/>
      <c r="AY149" s="270"/>
      <c r="AZ149" s="270"/>
      <c r="BA149" s="270"/>
      <c r="BB149" s="270"/>
      <c r="BC149" s="270"/>
      <c r="BD149" s="270"/>
      <c r="BE149" s="270"/>
      <c r="BF149" s="270"/>
      <c r="BG149" s="270"/>
      <c r="BH149" s="270"/>
      <c r="BI149" s="270"/>
      <c r="BJ149" s="270"/>
      <c r="BK149" s="270"/>
      <c r="BL149" s="270"/>
      <c r="BM149" s="270"/>
      <c r="BN149" s="270"/>
      <c r="BO149" s="270"/>
      <c r="BP149" s="270"/>
      <c r="BQ149" s="270"/>
      <c r="BR149" s="270"/>
      <c r="BS149" s="270"/>
      <c r="BT149" s="270"/>
      <c r="BU149" s="270"/>
      <c r="BV149" s="270"/>
      <c r="BW149" s="270"/>
      <c r="BX149" s="270"/>
      <c r="BY149" s="270"/>
      <c r="BZ149" s="270"/>
      <c r="CA149" s="270"/>
      <c r="CB149" s="270"/>
      <c r="CC149" s="270"/>
      <c r="CD149" s="270"/>
      <c r="CE149" s="270"/>
      <c r="CF149" s="270"/>
      <c r="CG149" s="270"/>
      <c r="CH149" s="270"/>
      <c r="CI149" s="270"/>
      <c r="CJ149" s="270"/>
      <c r="CK149" s="270"/>
      <c r="CL149" s="270"/>
      <c r="CM149" s="270"/>
      <c r="CN149" s="270"/>
      <c r="CO149" s="218"/>
      <c r="CP149" s="218"/>
      <c r="CQ149" s="218"/>
      <c r="CR149" s="218"/>
      <c r="CS149" s="218"/>
      <c r="CT149" s="343">
        <f>IF(H148=CO148,CU149,IF(H148=CP148,CV149,IF(H148=CQ148,CW149,IF(H148=CR148,CX149))))</f>
        <v>900</v>
      </c>
      <c r="CU149" s="218">
        <v>900</v>
      </c>
      <c r="CV149" s="218">
        <v>1300</v>
      </c>
      <c r="CW149" s="218">
        <v>1435</v>
      </c>
      <c r="CX149" s="218">
        <v>1850</v>
      </c>
      <c r="CY149" s="233"/>
      <c r="CZ149" s="284" t="s">
        <v>473</v>
      </c>
      <c r="DA149" s="233" t="s">
        <v>474</v>
      </c>
      <c r="DB149" s="233" t="s">
        <v>475</v>
      </c>
      <c r="DC149" s="233" t="s">
        <v>476</v>
      </c>
      <c r="DD149" s="345"/>
      <c r="DE149" s="345"/>
      <c r="DF149" s="284"/>
      <c r="DG149" s="284"/>
      <c r="DH149" s="284"/>
      <c r="DI149" s="284"/>
      <c r="DJ149" s="284"/>
      <c r="DK149" s="284"/>
      <c r="DM149" s="284"/>
      <c r="DN149" s="284"/>
      <c r="DO149" s="349"/>
      <c r="DP149" s="345"/>
      <c r="DQ149" s="345"/>
      <c r="DR149" s="345"/>
      <c r="DS149" s="345"/>
      <c r="DT149" s="349"/>
      <c r="DU149" s="345"/>
      <c r="DV149" s="145"/>
      <c r="DW149" s="145"/>
      <c r="DX149" s="145"/>
      <c r="DY149" s="349"/>
      <c r="DZ149" s="345"/>
      <c r="EA149" s="345"/>
      <c r="EB149" s="345"/>
      <c r="EC149" s="345"/>
      <c r="ED149" s="287"/>
      <c r="EE149" s="351"/>
      <c r="EF149" s="287"/>
      <c r="EG149" s="287"/>
      <c r="EH149" s="287"/>
      <c r="EI149" s="287"/>
      <c r="EJ149" s="287"/>
      <c r="EK149" s="287"/>
      <c r="EL149" s="287"/>
      <c r="EM149" s="287"/>
      <c r="EN149" s="287"/>
      <c r="EO149" s="287"/>
    </row>
    <row r="150" s="111" customFormat="1" ht="36.75" customHeight="1" spans="1:145">
      <c r="A150" s="164">
        <v>11</v>
      </c>
      <c r="B150" s="38" t="s">
        <v>477</v>
      </c>
      <c r="C150" s="189">
        <v>1</v>
      </c>
      <c r="D150" s="54"/>
      <c r="E150" s="54" t="s">
        <v>187</v>
      </c>
      <c r="F150" s="300">
        <v>1100</v>
      </c>
      <c r="G150" s="301">
        <f t="shared" si="4"/>
        <v>1100</v>
      </c>
      <c r="H150" s="299" t="s">
        <v>478</v>
      </c>
      <c r="I150" s="331" t="s">
        <v>479</v>
      </c>
      <c r="J150" s="218"/>
      <c r="K150" s="270"/>
      <c r="L150" s="270"/>
      <c r="M150" s="270"/>
      <c r="N150" s="270"/>
      <c r="O150" s="270"/>
      <c r="P150" s="270"/>
      <c r="Q150" s="270"/>
      <c r="R150" s="270"/>
      <c r="S150" s="270"/>
      <c r="T150" s="270"/>
      <c r="U150" s="270"/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70"/>
      <c r="AS150" s="270"/>
      <c r="AT150" s="270"/>
      <c r="AU150" s="270"/>
      <c r="AV150" s="270"/>
      <c r="AW150" s="270"/>
      <c r="AX150" s="270"/>
      <c r="AY150" s="270"/>
      <c r="AZ150" s="270"/>
      <c r="BA150" s="270"/>
      <c r="BB150" s="270"/>
      <c r="BC150" s="270"/>
      <c r="BD150" s="270"/>
      <c r="BE150" s="270"/>
      <c r="BF150" s="270"/>
      <c r="BG150" s="270"/>
      <c r="BH150" s="270"/>
      <c r="BI150" s="270"/>
      <c r="BJ150" s="270"/>
      <c r="BK150" s="270"/>
      <c r="BL150" s="270"/>
      <c r="BM150" s="270"/>
      <c r="BN150" s="270"/>
      <c r="BO150" s="270"/>
      <c r="BP150" s="270"/>
      <c r="BQ150" s="270"/>
      <c r="BR150" s="270"/>
      <c r="BS150" s="270"/>
      <c r="BT150" s="270"/>
      <c r="BU150" s="270"/>
      <c r="BV150" s="270"/>
      <c r="BW150" s="270"/>
      <c r="BX150" s="270"/>
      <c r="BY150" s="270"/>
      <c r="BZ150" s="270"/>
      <c r="CA150" s="270"/>
      <c r="CB150" s="270"/>
      <c r="CC150" s="270"/>
      <c r="CD150" s="270"/>
      <c r="CE150" s="270"/>
      <c r="CF150" s="270"/>
      <c r="CG150" s="270"/>
      <c r="CH150" s="270"/>
      <c r="CI150" s="270"/>
      <c r="CJ150" s="270"/>
      <c r="CK150" s="270"/>
      <c r="CL150" s="270"/>
      <c r="CM150" s="270"/>
      <c r="CN150" s="270"/>
      <c r="CO150" s="218" t="s">
        <v>480</v>
      </c>
      <c r="CP150" s="218" t="s">
        <v>481</v>
      </c>
      <c r="CQ150" s="218" t="s">
        <v>482</v>
      </c>
      <c r="CR150" s="218" t="s">
        <v>483</v>
      </c>
      <c r="CS150" s="218" t="s">
        <v>484</v>
      </c>
      <c r="CT150" s="283"/>
      <c r="CU150" s="117"/>
      <c r="CV150" s="218"/>
      <c r="CW150" s="344">
        <f>ROUND(IF(H150=CO150,CX150,IF(H150=CP150,CY150,IF(H150=CQ150,CZ150,IF(H150=CR150,DA150,IF(H150=CS150,DB150))))),0.5)</f>
        <v>0</v>
      </c>
      <c r="CX150" s="345">
        <v>0</v>
      </c>
      <c r="CY150" s="346">
        <f>DO150+DT150+DY150</f>
        <v>1244.4</v>
      </c>
      <c r="CZ150" s="346">
        <f>DO150+DY150</f>
        <v>940.1</v>
      </c>
      <c r="DA150" s="346">
        <f>DO150+DT150</f>
        <v>984.3</v>
      </c>
      <c r="DB150" s="346">
        <f>DO150</f>
        <v>680</v>
      </c>
      <c r="DC150" s="346"/>
      <c r="DD150" s="345"/>
      <c r="DE150" s="345"/>
      <c r="DF150" s="284" t="s">
        <v>485</v>
      </c>
      <c r="DG150" s="284" t="s">
        <v>486</v>
      </c>
      <c r="DH150" s="284" t="s">
        <v>487</v>
      </c>
      <c r="DI150" s="284" t="s">
        <v>488</v>
      </c>
      <c r="DJ150" s="284" t="s">
        <v>489</v>
      </c>
      <c r="DK150" s="283"/>
      <c r="DL150" s="117"/>
      <c r="DM150" s="284"/>
      <c r="DN150" s="284"/>
      <c r="DO150" s="350">
        <f>(400)*1.7</f>
        <v>680</v>
      </c>
      <c r="DP150" s="345"/>
      <c r="DQ150" s="345"/>
      <c r="DR150" s="345"/>
      <c r="DS150" s="345"/>
      <c r="DT150" s="350">
        <f>(109+70)*1.7</f>
        <v>304.3</v>
      </c>
      <c r="DU150" s="345"/>
      <c r="DV150" s="145"/>
      <c r="DW150" s="145"/>
      <c r="DX150" s="145"/>
      <c r="DY150" s="350">
        <f>153*1.7</f>
        <v>260.1</v>
      </c>
      <c r="DZ150" s="345"/>
      <c r="EA150" s="345"/>
      <c r="EB150" s="345"/>
      <c r="EC150" s="345"/>
      <c r="ED150" s="287"/>
      <c r="EE150" s="349">
        <f>670*1.7</f>
        <v>1139</v>
      </c>
      <c r="EF150" s="287"/>
      <c r="EG150" s="287"/>
      <c r="EH150" s="287"/>
      <c r="EI150" s="287"/>
      <c r="EJ150" s="287"/>
      <c r="EK150" s="287"/>
      <c r="EL150" s="287"/>
      <c r="EM150" s="287"/>
      <c r="EN150" s="287"/>
      <c r="EO150" s="287"/>
    </row>
    <row r="151" s="111" customFormat="1" ht="22.5" customHeight="1" spans="1:145">
      <c r="A151" s="164">
        <v>12</v>
      </c>
      <c r="B151" s="38" t="s">
        <v>490</v>
      </c>
      <c r="C151" s="189">
        <v>1</v>
      </c>
      <c r="D151" s="54"/>
      <c r="E151" s="54" t="s">
        <v>187</v>
      </c>
      <c r="F151" s="300">
        <v>900</v>
      </c>
      <c r="G151" s="301">
        <f t="shared" si="4"/>
        <v>900</v>
      </c>
      <c r="H151" s="299" t="s">
        <v>491</v>
      </c>
      <c r="I151" s="331" t="s">
        <v>492</v>
      </c>
      <c r="J151" s="218"/>
      <c r="K151" s="270"/>
      <c r="L151" s="270"/>
      <c r="M151" s="270"/>
      <c r="N151" s="270"/>
      <c r="O151" s="270"/>
      <c r="P151" s="270"/>
      <c r="Q151" s="270"/>
      <c r="R151" s="270"/>
      <c r="S151" s="270"/>
      <c r="T151" s="270"/>
      <c r="U151" s="270"/>
      <c r="V151" s="270"/>
      <c r="W151" s="270"/>
      <c r="X151" s="270"/>
      <c r="Y151" s="270"/>
      <c r="Z151" s="270"/>
      <c r="AA151" s="270"/>
      <c r="AB151" s="270"/>
      <c r="AC151" s="270"/>
      <c r="AD151" s="270"/>
      <c r="AE151" s="270"/>
      <c r="AF151" s="270"/>
      <c r="AG151" s="270"/>
      <c r="AH151" s="270"/>
      <c r="AI151" s="270"/>
      <c r="AJ151" s="270"/>
      <c r="AK151" s="270"/>
      <c r="AL151" s="270"/>
      <c r="AM151" s="270"/>
      <c r="AN151" s="270"/>
      <c r="AO151" s="270"/>
      <c r="AP151" s="270"/>
      <c r="AQ151" s="270"/>
      <c r="AR151" s="270"/>
      <c r="AS151" s="270"/>
      <c r="AT151" s="270"/>
      <c r="AU151" s="270"/>
      <c r="AV151" s="270"/>
      <c r="AW151" s="270"/>
      <c r="AX151" s="270"/>
      <c r="AY151" s="270"/>
      <c r="AZ151" s="270"/>
      <c r="BA151" s="270"/>
      <c r="BB151" s="270"/>
      <c r="BC151" s="270"/>
      <c r="BD151" s="270"/>
      <c r="BE151" s="270"/>
      <c r="BF151" s="270"/>
      <c r="BG151" s="270"/>
      <c r="BH151" s="270"/>
      <c r="BI151" s="270"/>
      <c r="BJ151" s="270"/>
      <c r="BK151" s="270"/>
      <c r="BL151" s="270"/>
      <c r="BM151" s="270"/>
      <c r="BN151" s="270"/>
      <c r="BO151" s="270"/>
      <c r="BP151" s="270"/>
      <c r="BQ151" s="270"/>
      <c r="BR151" s="270"/>
      <c r="BS151" s="270"/>
      <c r="BT151" s="270"/>
      <c r="BU151" s="270"/>
      <c r="BV151" s="270"/>
      <c r="BW151" s="270"/>
      <c r="BX151" s="270"/>
      <c r="BY151" s="270"/>
      <c r="BZ151" s="270"/>
      <c r="CA151" s="270"/>
      <c r="CB151" s="270"/>
      <c r="CC151" s="270"/>
      <c r="CD151" s="270"/>
      <c r="CE151" s="270"/>
      <c r="CF151" s="270"/>
      <c r="CG151" s="270"/>
      <c r="CH151" s="270"/>
      <c r="CI151" s="270"/>
      <c r="CJ151" s="270"/>
      <c r="CK151" s="270"/>
      <c r="CL151" s="270"/>
      <c r="CM151" s="270"/>
      <c r="CN151" s="270"/>
      <c r="CO151" s="218" t="s">
        <v>493</v>
      </c>
      <c r="CP151" s="218" t="s">
        <v>494</v>
      </c>
      <c r="CQ151" s="218" t="s">
        <v>495</v>
      </c>
      <c r="CR151" s="218"/>
      <c r="CS151" s="218"/>
      <c r="CT151" s="218"/>
      <c r="CU151" s="347"/>
      <c r="CV151" s="219"/>
      <c r="CW151" s="344">
        <f>ROUND(IF(H151=CO151,CX151,IF(H151=CP151,CY151+CZ151,IF(H151=CQ151,CY151))),0.5)</f>
        <v>0</v>
      </c>
      <c r="CX151" s="345">
        <v>0</v>
      </c>
      <c r="CY151" s="348">
        <v>475</v>
      </c>
      <c r="CZ151" s="348">
        <v>345</v>
      </c>
      <c r="DA151" s="346"/>
      <c r="DB151" s="346"/>
      <c r="DC151" s="346"/>
      <c r="DD151" s="345"/>
      <c r="DE151" s="345"/>
      <c r="DF151" s="284" t="s">
        <v>496</v>
      </c>
      <c r="DG151" s="284" t="s">
        <v>497</v>
      </c>
      <c r="DH151" s="284" t="s">
        <v>498</v>
      </c>
      <c r="DI151" s="284"/>
      <c r="DJ151" s="284" t="s">
        <v>499</v>
      </c>
      <c r="DK151" s="283"/>
      <c r="DL151" s="117"/>
      <c r="DM151" s="284"/>
      <c r="DN151" s="284"/>
      <c r="DO151" s="350"/>
      <c r="DP151" s="345"/>
      <c r="DQ151" s="345"/>
      <c r="DR151" s="345"/>
      <c r="DS151" s="345"/>
      <c r="DT151" s="350"/>
      <c r="DU151" s="345"/>
      <c r="DV151" s="145"/>
      <c r="DW151" s="145"/>
      <c r="DX151" s="145"/>
      <c r="DY151" s="236"/>
      <c r="DZ151" s="345"/>
      <c r="EA151" s="345"/>
      <c r="EB151" s="345"/>
      <c r="EC151" s="345"/>
      <c r="ED151" s="287"/>
      <c r="EE151" s="287"/>
      <c r="EF151" s="287"/>
      <c r="EG151" s="287"/>
      <c r="EH151" s="287"/>
      <c r="EI151" s="287"/>
      <c r="EJ151" s="287"/>
      <c r="EK151" s="287"/>
      <c r="EL151" s="287"/>
      <c r="EM151" s="287"/>
      <c r="EN151" s="287"/>
      <c r="EO151" s="287"/>
    </row>
    <row r="152" s="111" customFormat="1" ht="21" customHeight="1" spans="1:145">
      <c r="A152" s="164">
        <v>13</v>
      </c>
      <c r="B152" s="38" t="s">
        <v>500</v>
      </c>
      <c r="C152" s="189">
        <v>1</v>
      </c>
      <c r="D152" s="54"/>
      <c r="E152" s="54" t="s">
        <v>187</v>
      </c>
      <c r="F152" s="300">
        <v>900</v>
      </c>
      <c r="G152" s="301">
        <f t="shared" si="4"/>
        <v>900</v>
      </c>
      <c r="H152" s="299" t="s">
        <v>478</v>
      </c>
      <c r="I152" s="331" t="s">
        <v>501</v>
      </c>
      <c r="J152" s="230"/>
      <c r="CO152" s="233" t="s">
        <v>502</v>
      </c>
      <c r="CP152" s="233" t="s">
        <v>503</v>
      </c>
      <c r="CQ152" s="233" t="s">
        <v>504</v>
      </c>
      <c r="CR152" s="233" t="s">
        <v>505</v>
      </c>
      <c r="CS152" s="233" t="s">
        <v>506</v>
      </c>
      <c r="CT152" s="233" t="s">
        <v>507</v>
      </c>
      <c r="CU152" s="233"/>
      <c r="CV152" s="284"/>
      <c r="CW152" s="347"/>
      <c r="CX152" s="284"/>
      <c r="CY152" s="284"/>
      <c r="CZ152" s="284"/>
      <c r="DA152" s="284"/>
      <c r="DB152" s="233"/>
      <c r="DC152" s="233"/>
      <c r="DD152" s="236"/>
      <c r="DE152" s="236"/>
      <c r="DF152" s="236"/>
      <c r="DG152" s="236"/>
      <c r="DH152" s="236"/>
      <c r="DI152" s="236"/>
      <c r="DJ152" s="236"/>
      <c r="DK152" s="236"/>
      <c r="DL152" s="236"/>
      <c r="DM152" s="236"/>
      <c r="DN152" s="236"/>
      <c r="DO152" s="236"/>
      <c r="DP152" s="236"/>
      <c r="DQ152" s="236"/>
      <c r="DR152" s="236"/>
      <c r="DS152" s="236"/>
      <c r="DT152" s="236"/>
      <c r="DU152" s="236"/>
      <c r="DV152" s="236"/>
      <c r="DW152" s="236"/>
      <c r="DX152" s="236"/>
      <c r="DY152" s="236"/>
      <c r="DZ152" s="236"/>
      <c r="EA152" s="236"/>
      <c r="EB152" s="236"/>
      <c r="EC152" s="236"/>
      <c r="ED152" s="236"/>
      <c r="EE152" s="236"/>
      <c r="EF152" s="236"/>
      <c r="EG152" s="236"/>
      <c r="EH152" s="236"/>
      <c r="EI152" s="236"/>
      <c r="EJ152" s="236"/>
      <c r="EK152" s="236"/>
      <c r="EL152" s="236"/>
      <c r="EM152" s="236"/>
      <c r="EN152" s="236"/>
      <c r="EO152" s="236"/>
    </row>
    <row r="153" customHeight="1" spans="1:9">
      <c r="A153" s="250"/>
      <c r="B153" s="251"/>
      <c r="C153" s="159"/>
      <c r="D153" s="252"/>
      <c r="E153" s="251"/>
      <c r="F153" s="161"/>
      <c r="G153" s="253" t="s">
        <v>358</v>
      </c>
      <c r="H153" s="254">
        <f>SUM(G139:G153)</f>
        <v>5486</v>
      </c>
      <c r="I153" s="273"/>
    </row>
    <row r="154" customHeight="1" spans="1:9">
      <c r="A154" s="255" t="s">
        <v>508</v>
      </c>
      <c r="B154" s="256"/>
      <c r="C154" s="159"/>
      <c r="D154" s="257"/>
      <c r="E154" s="256"/>
      <c r="F154" s="258"/>
      <c r="G154" s="259"/>
      <c r="H154" s="256"/>
      <c r="I154" s="274"/>
    </row>
    <row r="155" customHeight="1" spans="1:9">
      <c r="A155" s="157" t="s">
        <v>15</v>
      </c>
      <c r="B155" s="158" t="s">
        <v>16</v>
      </c>
      <c r="C155" s="159" t="s">
        <v>17</v>
      </c>
      <c r="D155" s="160"/>
      <c r="E155" s="158" t="s">
        <v>18</v>
      </c>
      <c r="F155" s="161" t="s">
        <v>19</v>
      </c>
      <c r="G155" s="162" t="s">
        <v>149</v>
      </c>
      <c r="H155" s="163" t="s">
        <v>150</v>
      </c>
      <c r="I155" s="224" t="s">
        <v>22</v>
      </c>
    </row>
    <row r="156" ht="35.1" customHeight="1" spans="1:190">
      <c r="A156" s="302">
        <v>1</v>
      </c>
      <c r="B156" s="303" t="s">
        <v>509</v>
      </c>
      <c r="C156" s="304">
        <v>1</v>
      </c>
      <c r="D156" s="196"/>
      <c r="E156" s="305" t="s">
        <v>164</v>
      </c>
      <c r="F156" s="62">
        <v>475</v>
      </c>
      <c r="G156" s="198">
        <f t="shared" ref="G156:G166" si="5">C156*F156</f>
        <v>475</v>
      </c>
      <c r="H156" s="306" t="s">
        <v>510</v>
      </c>
      <c r="I156" s="281" t="s">
        <v>511</v>
      </c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233"/>
      <c r="AB156" s="233"/>
      <c r="AC156" s="233"/>
      <c r="AD156" s="233"/>
      <c r="AE156" s="233"/>
      <c r="AF156" s="283"/>
      <c r="AG156" s="233"/>
      <c r="AH156" s="339"/>
      <c r="AI156" s="339"/>
      <c r="AJ156" s="339"/>
      <c r="AK156" s="339"/>
      <c r="AL156" s="339"/>
      <c r="AM156" s="339"/>
      <c r="AN156" s="339"/>
      <c r="AO156" s="339"/>
      <c r="AP156" s="236"/>
      <c r="AQ156" s="236"/>
      <c r="AR156" s="236"/>
      <c r="AS156" s="236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6"/>
      <c r="BG156" s="236"/>
      <c r="BH156" s="236"/>
      <c r="BI156" s="236"/>
      <c r="BJ156" s="236"/>
      <c r="BK156" s="236"/>
      <c r="BL156" s="236"/>
      <c r="BM156" s="236"/>
      <c r="BN156" s="236"/>
      <c r="BO156" s="236"/>
      <c r="BP156" s="236"/>
      <c r="BQ156" s="236"/>
      <c r="BR156" s="236"/>
      <c r="BS156" s="236"/>
      <c r="BT156" s="236"/>
      <c r="BU156" s="236"/>
      <c r="BV156" s="236"/>
      <c r="BW156" s="236"/>
      <c r="BX156" s="236"/>
      <c r="BY156" s="236"/>
      <c r="BZ156" s="236"/>
      <c r="CA156" s="236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111"/>
      <c r="EG156" s="111"/>
      <c r="EH156" s="111"/>
      <c r="EI156" s="111"/>
      <c r="EJ156" s="111"/>
      <c r="EK156" s="111"/>
      <c r="EL156" s="111"/>
      <c r="EM156" s="111"/>
      <c r="EN156" s="111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11"/>
      <c r="FG156" s="111"/>
      <c r="FH156" s="111"/>
      <c r="FI156" s="111"/>
      <c r="FJ156" s="111"/>
      <c r="FK156" s="111"/>
      <c r="FL156" s="111"/>
      <c r="FM156" s="111"/>
      <c r="FN156" s="111"/>
      <c r="FO156" s="111"/>
      <c r="FP156" s="111"/>
      <c r="FQ156" s="111"/>
      <c r="FR156" s="111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</row>
    <row r="157" ht="33.75" customHeight="1" spans="1:190">
      <c r="A157" s="302">
        <v>2</v>
      </c>
      <c r="B157" s="303" t="s">
        <v>512</v>
      </c>
      <c r="C157" s="304">
        <v>1</v>
      </c>
      <c r="D157" s="196"/>
      <c r="E157" s="305" t="s">
        <v>164</v>
      </c>
      <c r="F157" s="62">
        <v>495</v>
      </c>
      <c r="G157" s="198">
        <f t="shared" si="5"/>
        <v>495</v>
      </c>
      <c r="H157" s="306" t="s">
        <v>510</v>
      </c>
      <c r="I157" s="281" t="s">
        <v>513</v>
      </c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233"/>
      <c r="AB157" s="233"/>
      <c r="AC157" s="233"/>
      <c r="AD157" s="233"/>
      <c r="AE157" s="233"/>
      <c r="AF157" s="283"/>
      <c r="AG157" s="233"/>
      <c r="AH157" s="339"/>
      <c r="AI157" s="339"/>
      <c r="AJ157" s="339"/>
      <c r="AK157" s="339"/>
      <c r="AL157" s="339"/>
      <c r="AM157" s="339"/>
      <c r="AN157" s="339"/>
      <c r="AO157" s="233"/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36"/>
      <c r="BV157" s="236"/>
      <c r="BW157" s="236"/>
      <c r="BX157" s="236"/>
      <c r="BY157" s="236"/>
      <c r="BZ157" s="236"/>
      <c r="CA157" s="236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 s="111"/>
      <c r="DZ157" s="111"/>
      <c r="EA157" s="111"/>
      <c r="EB157" s="111"/>
      <c r="EC157" s="111"/>
      <c r="ED157" s="111"/>
      <c r="EE157" s="111"/>
      <c r="EF157" s="111"/>
      <c r="EG157" s="111"/>
      <c r="EH157" s="111"/>
      <c r="EI157" s="111"/>
      <c r="EJ157" s="111"/>
      <c r="EK157" s="111"/>
      <c r="EL157" s="111"/>
      <c r="EM157" s="111"/>
      <c r="EN157" s="111"/>
      <c r="EO157" s="111"/>
      <c r="EP157" s="111"/>
      <c r="EQ157" s="111"/>
      <c r="ER157" s="111"/>
      <c r="ES157" s="111"/>
      <c r="ET157" s="111"/>
      <c r="EU157" s="111"/>
      <c r="EV157" s="111"/>
      <c r="EW157" s="111"/>
      <c r="EX157" s="111"/>
      <c r="EY157" s="111"/>
      <c r="EZ157" s="111"/>
      <c r="FA157" s="111"/>
      <c r="FB157" s="111"/>
      <c r="FC157" s="111"/>
      <c r="FD157" s="111"/>
      <c r="FE157" s="111"/>
      <c r="FF157" s="111"/>
      <c r="FG157" s="111"/>
      <c r="FH157" s="111"/>
      <c r="FI157" s="111"/>
      <c r="FJ157" s="111"/>
      <c r="FK157" s="111"/>
      <c r="FL157" s="111"/>
      <c r="FM157" s="111"/>
      <c r="FN157" s="111"/>
      <c r="FO157" s="111"/>
      <c r="FP157" s="111"/>
      <c r="FQ157" s="111"/>
      <c r="FR157" s="111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</row>
    <row r="158" ht="24" customHeight="1" spans="1:190">
      <c r="A158" s="302">
        <v>3</v>
      </c>
      <c r="B158" s="307" t="s">
        <v>514</v>
      </c>
      <c r="C158" s="304">
        <v>1</v>
      </c>
      <c r="D158" s="196"/>
      <c r="E158" s="305" t="s">
        <v>164</v>
      </c>
      <c r="F158" s="62">
        <v>475</v>
      </c>
      <c r="G158" s="198">
        <f t="shared" si="5"/>
        <v>475</v>
      </c>
      <c r="H158" s="306" t="s">
        <v>510</v>
      </c>
      <c r="I158" s="281" t="s">
        <v>515</v>
      </c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233"/>
      <c r="AB158" s="233"/>
      <c r="AC158" s="233"/>
      <c r="AD158" s="233"/>
      <c r="AE158" s="233"/>
      <c r="AF158" s="283"/>
      <c r="AG158" s="233"/>
      <c r="AH158" s="339"/>
      <c r="AI158" s="339"/>
      <c r="AJ158" s="339"/>
      <c r="AK158" s="339"/>
      <c r="AL158" s="339"/>
      <c r="AM158" s="339"/>
      <c r="AN158" s="339"/>
      <c r="AO158" s="233"/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6"/>
      <c r="BG158" s="236"/>
      <c r="BH158" s="236"/>
      <c r="BI158" s="236"/>
      <c r="BJ158" s="236"/>
      <c r="BK158" s="236"/>
      <c r="BL158" s="236"/>
      <c r="BM158" s="236"/>
      <c r="BN158" s="236"/>
      <c r="BO158" s="236"/>
      <c r="BP158" s="236"/>
      <c r="BQ158" s="236"/>
      <c r="BR158" s="236"/>
      <c r="BS158" s="236"/>
      <c r="BT158" s="236"/>
      <c r="BU158" s="236"/>
      <c r="BV158" s="236"/>
      <c r="BW158" s="236"/>
      <c r="BX158" s="236"/>
      <c r="BY158" s="236"/>
      <c r="BZ158" s="236"/>
      <c r="CA158" s="236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 s="111"/>
      <c r="DZ158" s="111"/>
      <c r="EA158" s="111"/>
      <c r="EB158" s="111"/>
      <c r="EC158" s="111"/>
      <c r="ED158" s="111"/>
      <c r="EE158" s="111"/>
      <c r="EF158" s="111"/>
      <c r="EG158" s="111"/>
      <c r="EH158" s="111"/>
      <c r="EI158" s="111"/>
      <c r="EJ158" s="111"/>
      <c r="EK158" s="111"/>
      <c r="EL158" s="111"/>
      <c r="EM158" s="111"/>
      <c r="EN158" s="111"/>
      <c r="EO158" s="111"/>
      <c r="EP158" s="111"/>
      <c r="EQ158" s="111"/>
      <c r="ER158" s="111"/>
      <c r="ES158" s="111"/>
      <c r="ET158" s="111"/>
      <c r="EU158" s="111"/>
      <c r="EV158" s="111"/>
      <c r="EW158" s="111"/>
      <c r="EX158" s="111"/>
      <c r="EY158" s="111"/>
      <c r="EZ158" s="111"/>
      <c r="FA158" s="111"/>
      <c r="FB158" s="111"/>
      <c r="FC158" s="111"/>
      <c r="FD158" s="111"/>
      <c r="FE158" s="111"/>
      <c r="FF158" s="111"/>
      <c r="FG158" s="111"/>
      <c r="FH158" s="111"/>
      <c r="FI158" s="111"/>
      <c r="FJ158" s="111"/>
      <c r="FK158" s="111"/>
      <c r="FL158" s="111"/>
      <c r="FM158" s="111"/>
      <c r="FN158" s="111"/>
      <c r="FO158" s="111"/>
      <c r="FP158" s="111"/>
      <c r="FQ158" s="111"/>
      <c r="FR158" s="111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</row>
    <row r="159" ht="71.25" customHeight="1" spans="1:190">
      <c r="A159" s="302">
        <v>4</v>
      </c>
      <c r="B159" s="267" t="s">
        <v>516</v>
      </c>
      <c r="C159" s="304">
        <v>1</v>
      </c>
      <c r="D159" s="196"/>
      <c r="E159" s="305" t="s">
        <v>164</v>
      </c>
      <c r="F159" s="62">
        <v>345</v>
      </c>
      <c r="G159" s="198">
        <f t="shared" si="5"/>
        <v>345</v>
      </c>
      <c r="H159" s="306" t="s">
        <v>510</v>
      </c>
      <c r="I159" s="281" t="s">
        <v>517</v>
      </c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233"/>
      <c r="AB159" s="233"/>
      <c r="AC159" s="233"/>
      <c r="AD159" s="233"/>
      <c r="AE159" s="233"/>
      <c r="AF159" s="233"/>
      <c r="AG159" s="338"/>
      <c r="AH159" s="338"/>
      <c r="AI159" s="338"/>
      <c r="AJ159" s="233"/>
      <c r="AK159" s="233"/>
      <c r="AL159" s="233"/>
      <c r="AM159" s="233"/>
      <c r="AN159" s="233"/>
      <c r="AO159" s="233"/>
      <c r="AP159" s="233"/>
      <c r="AQ159" s="233"/>
      <c r="AR159" s="341"/>
      <c r="AS159" s="341"/>
      <c r="AT159" s="341"/>
      <c r="AU159" s="341"/>
      <c r="AV159" s="341"/>
      <c r="AW159" s="341"/>
      <c r="AX159" s="341"/>
      <c r="AY159" s="341"/>
      <c r="AZ159" s="342"/>
      <c r="BA159" s="341"/>
      <c r="BB159" s="341"/>
      <c r="BC159" s="341"/>
      <c r="BD159" s="341"/>
      <c r="BE159" s="341"/>
      <c r="BF159" s="341"/>
      <c r="BG159" s="341"/>
      <c r="BH159" s="342"/>
      <c r="BI159" s="341"/>
      <c r="BJ159" s="341"/>
      <c r="BK159" s="341"/>
      <c r="BL159" s="236"/>
      <c r="BM159" s="236"/>
      <c r="BN159" s="236"/>
      <c r="BO159" s="236"/>
      <c r="BP159" s="236"/>
      <c r="BQ159" s="236"/>
      <c r="BR159" s="236"/>
      <c r="BS159" s="236"/>
      <c r="BT159" s="236"/>
      <c r="BU159" s="236"/>
      <c r="BV159" s="236"/>
      <c r="BW159" s="236"/>
      <c r="BX159" s="236"/>
      <c r="BY159" s="236"/>
      <c r="BZ159" s="236"/>
      <c r="CA159" s="236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1"/>
      <c r="FQ159" s="111"/>
      <c r="FR159" s="111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</row>
    <row r="160" ht="24.75" customHeight="1" spans="1:190">
      <c r="A160" s="302">
        <v>5</v>
      </c>
      <c r="B160" s="307" t="s">
        <v>518</v>
      </c>
      <c r="C160" s="304">
        <v>1</v>
      </c>
      <c r="D160" s="196"/>
      <c r="E160" s="305" t="s">
        <v>164</v>
      </c>
      <c r="F160" s="62">
        <v>280</v>
      </c>
      <c r="G160" s="198">
        <f t="shared" si="5"/>
        <v>280</v>
      </c>
      <c r="H160" s="306" t="s">
        <v>519</v>
      </c>
      <c r="I160" s="281" t="s">
        <v>520</v>
      </c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233"/>
      <c r="AB160" s="233"/>
      <c r="AC160" s="233"/>
      <c r="AD160" s="233"/>
      <c r="AE160" s="233"/>
      <c r="AF160" s="338"/>
      <c r="AG160" s="233"/>
      <c r="AH160" s="233"/>
      <c r="AI160" s="233"/>
      <c r="AJ160" s="233"/>
      <c r="AK160" s="233"/>
      <c r="AL160" s="233"/>
      <c r="AM160" s="233"/>
      <c r="AN160" s="233"/>
      <c r="AO160" s="233"/>
      <c r="AP160" s="236"/>
      <c r="AQ160" s="236"/>
      <c r="AR160" s="236"/>
      <c r="AS160" s="236"/>
      <c r="AT160" s="236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  <c r="BE160" s="236"/>
      <c r="BF160" s="236"/>
      <c r="BG160" s="236"/>
      <c r="BH160" s="236"/>
      <c r="BI160" s="236"/>
      <c r="BJ160" s="236"/>
      <c r="BK160" s="236"/>
      <c r="BL160" s="236"/>
      <c r="BM160" s="236"/>
      <c r="BN160" s="236"/>
      <c r="BO160" s="236"/>
      <c r="BP160" s="236"/>
      <c r="BQ160" s="236"/>
      <c r="BR160" s="236"/>
      <c r="BS160" s="236"/>
      <c r="BT160" s="236"/>
      <c r="BU160" s="236"/>
      <c r="BV160" s="236"/>
      <c r="BW160" s="236"/>
      <c r="BX160" s="236"/>
      <c r="BY160" s="236"/>
      <c r="BZ160" s="236"/>
      <c r="CA160" s="236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111"/>
      <c r="EK160" s="111"/>
      <c r="EL160" s="111"/>
      <c r="EM160" s="111"/>
      <c r="EN160" s="111"/>
      <c r="EO160" s="111"/>
      <c r="EP160" s="111"/>
      <c r="EQ160" s="111"/>
      <c r="ER160" s="111"/>
      <c r="ES160" s="111"/>
      <c r="ET160" s="111"/>
      <c r="EU160" s="111"/>
      <c r="EV160" s="111"/>
      <c r="EW160" s="111"/>
      <c r="EX160" s="111"/>
      <c r="EY160" s="111"/>
      <c r="EZ160" s="111"/>
      <c r="FA160" s="111"/>
      <c r="FB160" s="111"/>
      <c r="FC160" s="111"/>
      <c r="FD160" s="111"/>
      <c r="FE160" s="111"/>
      <c r="FF160" s="111"/>
      <c r="FG160" s="111"/>
      <c r="FH160" s="111"/>
      <c r="FI160" s="111"/>
      <c r="FJ160" s="111"/>
      <c r="FK160" s="111"/>
      <c r="FL160" s="111"/>
      <c r="FM160" s="111"/>
      <c r="FN160" s="111"/>
      <c r="FO160" s="111"/>
      <c r="FP160" s="111"/>
      <c r="FQ160" s="111"/>
      <c r="FR160" s="111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</row>
    <row r="161" s="124" customFormat="1" ht="45" customHeight="1" spans="1:40">
      <c r="A161" s="302">
        <v>6</v>
      </c>
      <c r="B161" s="267" t="s">
        <v>521</v>
      </c>
      <c r="C161" s="304">
        <v>1</v>
      </c>
      <c r="D161" s="196"/>
      <c r="E161" s="305" t="s">
        <v>48</v>
      </c>
      <c r="F161" s="62">
        <v>1855</v>
      </c>
      <c r="G161" s="198">
        <f t="shared" si="5"/>
        <v>1855</v>
      </c>
      <c r="H161" s="306" t="s">
        <v>522</v>
      </c>
      <c r="I161" s="281" t="s">
        <v>523</v>
      </c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233"/>
      <c r="AB161" s="233"/>
      <c r="AC161" s="233"/>
      <c r="AD161" s="233"/>
      <c r="AE161" s="233"/>
      <c r="AF161" s="233"/>
      <c r="AG161" s="233"/>
      <c r="AH161" s="233"/>
      <c r="AI161" s="233"/>
      <c r="AJ161" s="233"/>
      <c r="AK161" s="233"/>
      <c r="AL161" s="233"/>
      <c r="AM161" s="340"/>
      <c r="AN161" s="340"/>
    </row>
    <row r="162" ht="22.5" customHeight="1" spans="1:190">
      <c r="A162" s="302">
        <v>7</v>
      </c>
      <c r="B162" s="267" t="s">
        <v>524</v>
      </c>
      <c r="C162" s="304">
        <v>1</v>
      </c>
      <c r="D162" s="196"/>
      <c r="E162" s="305" t="s">
        <v>26</v>
      </c>
      <c r="F162" s="62">
        <v>280</v>
      </c>
      <c r="G162" s="198">
        <f t="shared" si="5"/>
        <v>280</v>
      </c>
      <c r="H162" s="306" t="s">
        <v>525</v>
      </c>
      <c r="I162" s="332" t="s">
        <v>526</v>
      </c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233"/>
      <c r="AB162" s="233"/>
      <c r="AC162" s="233"/>
      <c r="AD162" s="233"/>
      <c r="AE162" s="233"/>
      <c r="AF162" s="339"/>
      <c r="AG162" s="339"/>
      <c r="AH162" s="339"/>
      <c r="AI162" s="339"/>
      <c r="AJ162" s="339"/>
      <c r="AK162" s="233"/>
      <c r="AL162" s="233"/>
      <c r="AM162" s="233"/>
      <c r="AN162" s="233"/>
      <c r="AO162" s="233"/>
      <c r="AP162" s="236"/>
      <c r="AQ162" s="236"/>
      <c r="AR162" s="124"/>
      <c r="AS162" s="124"/>
      <c r="AT162" s="124"/>
      <c r="AU162" s="124"/>
      <c r="AV162" s="124"/>
      <c r="AW162" s="124"/>
      <c r="AX162" s="124"/>
      <c r="AY162" s="124"/>
      <c r="AZ162" s="124"/>
      <c r="BA162" s="124"/>
      <c r="BB162" s="124"/>
      <c r="BC162" s="124"/>
      <c r="BD162" s="124"/>
      <c r="BE162" s="124"/>
      <c r="BF162" s="124"/>
      <c r="BG162" s="124"/>
      <c r="BH162" s="124"/>
      <c r="BI162" s="124"/>
      <c r="BJ162" s="124"/>
      <c r="BK162" s="124"/>
      <c r="BL162" s="124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  <c r="BX162" s="124"/>
      <c r="BY162" s="124"/>
      <c r="BZ162" s="124"/>
      <c r="CA162" s="124"/>
      <c r="CB162" s="124"/>
      <c r="CC162" s="124"/>
      <c r="CD162" s="124"/>
      <c r="CE162" s="124"/>
      <c r="CF162" s="124"/>
      <c r="CG162" s="124"/>
      <c r="CH162" s="124"/>
      <c r="CI162" s="124"/>
      <c r="CJ162" s="124"/>
      <c r="CK162" s="124"/>
      <c r="CL162" s="124"/>
      <c r="CM162" s="124"/>
      <c r="CN162" s="124"/>
      <c r="CO162" s="124"/>
      <c r="CP162" s="124"/>
      <c r="CQ162" s="124"/>
      <c r="CR162" s="124"/>
      <c r="CS162" s="124"/>
      <c r="CT162" s="124"/>
      <c r="CU162" s="124"/>
      <c r="CV162" s="124"/>
      <c r="CW162" s="124"/>
      <c r="CX162" s="124"/>
      <c r="CY162" s="124"/>
      <c r="CZ162" s="124"/>
      <c r="DA162" s="124"/>
      <c r="DB162" s="124"/>
      <c r="DC162" s="124"/>
      <c r="DD162" s="124"/>
      <c r="DE162" s="124"/>
      <c r="DF162" s="124"/>
      <c r="DG162" s="124"/>
      <c r="DH162" s="124"/>
      <c r="DI162" s="124"/>
      <c r="DJ162" s="124"/>
      <c r="DK162" s="124"/>
      <c r="DL162" s="124"/>
      <c r="DM162" s="124"/>
      <c r="DN162" s="124"/>
      <c r="DO162" s="124"/>
      <c r="DP162" s="124"/>
      <c r="DQ162" s="124"/>
      <c r="DR162" s="124"/>
      <c r="DS162" s="124"/>
      <c r="DT162" s="124"/>
      <c r="DU162" s="124"/>
      <c r="DV162" s="124"/>
      <c r="DW162" s="124"/>
      <c r="DX162" s="124"/>
      <c r="DY162" s="124"/>
      <c r="DZ162" s="124"/>
      <c r="EA162" s="124"/>
      <c r="EB162" s="124"/>
      <c r="EC162" s="124"/>
      <c r="ED162" s="124"/>
      <c r="EE162" s="124"/>
      <c r="EF162" s="124"/>
      <c r="EG162" s="124"/>
      <c r="EH162" s="124"/>
      <c r="EI162" s="124"/>
      <c r="EJ162" s="124"/>
      <c r="EK162" s="124"/>
      <c r="EL162" s="124"/>
      <c r="EM162" s="124"/>
      <c r="EN162" s="124"/>
      <c r="EO162" s="124"/>
      <c r="EP162" s="124"/>
      <c r="EQ162" s="124"/>
      <c r="ER162" s="124"/>
      <c r="ES162" s="124"/>
      <c r="ET162" s="124"/>
      <c r="EU162" s="124"/>
      <c r="EV162" s="124"/>
      <c r="EW162" s="124"/>
      <c r="EX162" s="124"/>
      <c r="EY162" s="124"/>
      <c r="EZ162" s="124"/>
      <c r="FA162" s="124"/>
      <c r="FB162" s="124"/>
      <c r="FC162" s="124"/>
      <c r="FD162" s="124"/>
      <c r="FE162" s="124"/>
      <c r="FF162" s="124"/>
      <c r="FG162" s="124"/>
      <c r="FH162" s="124"/>
      <c r="FI162" s="124"/>
      <c r="FJ162" s="124"/>
      <c r="FK162" s="124"/>
      <c r="FL162" s="124"/>
      <c r="FM162" s="124"/>
      <c r="FN162" s="124"/>
      <c r="FO162" s="124"/>
      <c r="FP162" s="124"/>
      <c r="FQ162" s="124"/>
      <c r="FR162" s="124"/>
      <c r="FS162" s="124"/>
      <c r="FT162" s="124"/>
      <c r="FU162" s="124"/>
      <c r="FV162" s="124"/>
      <c r="FW162" s="124"/>
      <c r="FX162" s="124"/>
      <c r="FY162" s="124"/>
      <c r="FZ162" s="124"/>
      <c r="GA162" s="124"/>
      <c r="GB162" s="124"/>
      <c r="GC162" s="124"/>
      <c r="GD162" s="124"/>
      <c r="GE162" s="124"/>
      <c r="GF162" s="124"/>
      <c r="GG162" s="124"/>
      <c r="GH162" s="124"/>
    </row>
    <row r="163" ht="24" customHeight="1" spans="1:190">
      <c r="A163" s="302">
        <v>8</v>
      </c>
      <c r="B163" s="267" t="s">
        <v>527</v>
      </c>
      <c r="C163" s="304">
        <v>1</v>
      </c>
      <c r="D163" s="196"/>
      <c r="E163" s="305" t="s">
        <v>187</v>
      </c>
      <c r="F163" s="62">
        <v>545</v>
      </c>
      <c r="G163" s="198">
        <f t="shared" si="5"/>
        <v>545</v>
      </c>
      <c r="H163" s="306" t="s">
        <v>525</v>
      </c>
      <c r="I163" s="332" t="s">
        <v>528</v>
      </c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233"/>
      <c r="AB163" s="233"/>
      <c r="AC163" s="233"/>
      <c r="AD163" s="233"/>
      <c r="AE163" s="233"/>
      <c r="AF163" s="283"/>
      <c r="AG163" s="233"/>
      <c r="AH163" s="339"/>
      <c r="AI163" s="339"/>
      <c r="AJ163" s="339"/>
      <c r="AK163" s="339"/>
      <c r="AL163" s="339"/>
      <c r="AM163" s="339"/>
      <c r="AN163" s="339"/>
      <c r="AO163" s="233"/>
      <c r="AP163" s="236"/>
      <c r="AQ163" s="236"/>
      <c r="AR163" s="236"/>
      <c r="AS163" s="236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  <c r="BE163" s="236"/>
      <c r="BF163" s="236"/>
      <c r="BG163" s="236"/>
      <c r="BH163" s="236"/>
      <c r="BI163" s="236"/>
      <c r="BJ163" s="236"/>
      <c r="BK163" s="236"/>
      <c r="BL163" s="236"/>
      <c r="BM163" s="236"/>
      <c r="BN163" s="236"/>
      <c r="BO163" s="236"/>
      <c r="BP163" s="236"/>
      <c r="BQ163" s="236"/>
      <c r="BR163" s="236"/>
      <c r="BS163" s="236"/>
      <c r="BT163" s="236"/>
      <c r="BU163" s="236"/>
      <c r="BV163" s="236"/>
      <c r="BW163" s="236"/>
      <c r="BX163" s="236"/>
      <c r="BY163" s="236"/>
      <c r="BZ163" s="236"/>
      <c r="CA163" s="236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  <c r="CO163" s="111"/>
      <c r="CP163" s="111"/>
      <c r="CQ163" s="111"/>
      <c r="CR163" s="111"/>
      <c r="CS163" s="111"/>
      <c r="CT163" s="111"/>
      <c r="CU163" s="111"/>
      <c r="CV163" s="111"/>
      <c r="CW163" s="111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1"/>
      <c r="EE163" s="111"/>
      <c r="EF163" s="111"/>
      <c r="EG163" s="111"/>
      <c r="EH163" s="111"/>
      <c r="EI163" s="111"/>
      <c r="EJ163" s="111"/>
      <c r="EK163" s="111"/>
      <c r="EL163" s="111"/>
      <c r="EM163" s="111"/>
      <c r="EN163" s="111"/>
      <c r="EO163" s="111"/>
      <c r="EP163" s="111"/>
      <c r="EQ163" s="111"/>
      <c r="ER163" s="111"/>
      <c r="ES163" s="111"/>
      <c r="ET163" s="111"/>
      <c r="EU163" s="111"/>
      <c r="EV163" s="111"/>
      <c r="EW163" s="111"/>
      <c r="EX163" s="111"/>
      <c r="EY163" s="111"/>
      <c r="EZ163" s="111"/>
      <c r="FA163" s="111"/>
      <c r="FB163" s="111"/>
      <c r="FC163" s="111"/>
      <c r="FD163" s="111"/>
      <c r="FE163" s="111"/>
      <c r="FF163" s="111"/>
      <c r="FG163" s="111"/>
      <c r="FH163" s="111"/>
      <c r="FI163" s="111"/>
      <c r="FJ163" s="111"/>
      <c r="FK163" s="111"/>
      <c r="FL163" s="111"/>
      <c r="FM163" s="111"/>
      <c r="FN163" s="111"/>
      <c r="FO163" s="111"/>
      <c r="FP163" s="111"/>
      <c r="FQ163" s="111"/>
      <c r="FR163" s="111"/>
      <c r="FS163" s="111"/>
      <c r="FT163" s="111"/>
      <c r="FU163" s="111"/>
      <c r="FV163" s="111"/>
      <c r="FW163" s="111"/>
      <c r="FX163" s="111"/>
      <c r="FY163" s="111"/>
      <c r="FZ163" s="111"/>
      <c r="GA163" s="111"/>
      <c r="GB163" s="111"/>
      <c r="GC163" s="111"/>
      <c r="GD163" s="111"/>
      <c r="GE163" s="111"/>
      <c r="GF163" s="111"/>
      <c r="GG163" s="111"/>
      <c r="GH163" s="111"/>
    </row>
    <row r="164" ht="45" customHeight="1" spans="1:190">
      <c r="A164" s="302">
        <v>9</v>
      </c>
      <c r="B164" s="307" t="s">
        <v>529</v>
      </c>
      <c r="C164" s="304">
        <v>1</v>
      </c>
      <c r="D164" s="196"/>
      <c r="E164" s="305" t="s">
        <v>187</v>
      </c>
      <c r="F164" s="62">
        <v>520</v>
      </c>
      <c r="G164" s="198">
        <f t="shared" si="5"/>
        <v>520</v>
      </c>
      <c r="H164" s="306" t="s">
        <v>530</v>
      </c>
      <c r="I164" s="281" t="s">
        <v>531</v>
      </c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233"/>
      <c r="AB164" s="233"/>
      <c r="AC164" s="233"/>
      <c r="AD164" s="233"/>
      <c r="AE164" s="233"/>
      <c r="AF164" s="233"/>
      <c r="AG164" s="233"/>
      <c r="AH164" s="233"/>
      <c r="AI164" s="233"/>
      <c r="AJ164" s="233"/>
      <c r="AK164" s="233"/>
      <c r="AL164" s="233"/>
      <c r="AM164" s="283"/>
      <c r="AN164" s="233"/>
      <c r="AO164" s="233"/>
      <c r="AP164" s="236"/>
      <c r="AQ164" s="236"/>
      <c r="AR164" s="236"/>
      <c r="AS164" s="236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  <c r="BE164" s="236"/>
      <c r="BF164" s="236"/>
      <c r="BG164" s="236"/>
      <c r="BH164" s="236"/>
      <c r="BI164" s="236"/>
      <c r="BJ164" s="236"/>
      <c r="BK164" s="236"/>
      <c r="BL164" s="236"/>
      <c r="BM164" s="236"/>
      <c r="BN164" s="236"/>
      <c r="BO164" s="236"/>
      <c r="BP164" s="236"/>
      <c r="BQ164" s="236"/>
      <c r="BR164" s="236"/>
      <c r="BS164" s="236"/>
      <c r="BT164" s="236"/>
      <c r="BU164" s="236"/>
      <c r="BV164" s="236"/>
      <c r="BW164" s="236"/>
      <c r="BX164" s="236"/>
      <c r="BY164" s="236"/>
      <c r="BZ164" s="236"/>
      <c r="CA164" s="236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1"/>
      <c r="CX164" s="111"/>
      <c r="CY164" s="111"/>
      <c r="CZ164" s="111"/>
      <c r="DA164" s="111"/>
      <c r="DB164" s="111"/>
      <c r="DC164" s="111"/>
      <c r="DD164" s="111"/>
      <c r="DE164" s="111"/>
      <c r="DF164" s="111"/>
      <c r="DG164" s="111"/>
      <c r="DH164" s="111"/>
      <c r="DI164" s="111"/>
      <c r="DJ164" s="111"/>
      <c r="DK164" s="111"/>
      <c r="DL164" s="111"/>
      <c r="DM164" s="111"/>
      <c r="DN164" s="111"/>
      <c r="DO164" s="111"/>
      <c r="DP164" s="111"/>
      <c r="DQ164" s="111"/>
      <c r="DR164" s="111"/>
      <c r="DS164" s="111"/>
      <c r="DT164" s="111"/>
      <c r="DU164" s="111"/>
      <c r="DV164" s="111"/>
      <c r="DW164" s="111"/>
      <c r="DX164" s="111"/>
      <c r="DY164" s="111"/>
      <c r="DZ164" s="111"/>
      <c r="EA164" s="111"/>
      <c r="EB164" s="111"/>
      <c r="EC164" s="111"/>
      <c r="ED164" s="111"/>
      <c r="EE164" s="111"/>
      <c r="EF164" s="111"/>
      <c r="EG164" s="111"/>
      <c r="EH164" s="111"/>
      <c r="EI164" s="111"/>
      <c r="EJ164" s="111"/>
      <c r="EK164" s="111"/>
      <c r="EL164" s="111"/>
      <c r="EM164" s="111"/>
      <c r="EN164" s="111"/>
      <c r="EO164" s="111"/>
      <c r="EP164" s="111"/>
      <c r="EQ164" s="111"/>
      <c r="ER164" s="111"/>
      <c r="ES164" s="111"/>
      <c r="ET164" s="111"/>
      <c r="EU164" s="111"/>
      <c r="EV164" s="111"/>
      <c r="EW164" s="111"/>
      <c r="EX164" s="111"/>
      <c r="EY164" s="111"/>
      <c r="EZ164" s="111"/>
      <c r="FA164" s="111"/>
      <c r="FB164" s="111"/>
      <c r="FC164" s="111"/>
      <c r="FD164" s="111"/>
      <c r="FE164" s="111"/>
      <c r="FF164" s="111"/>
      <c r="FG164" s="111"/>
      <c r="FH164" s="111"/>
      <c r="FI164" s="111"/>
      <c r="FJ164" s="111"/>
      <c r="FK164" s="111"/>
      <c r="FL164" s="111"/>
      <c r="FM164" s="111"/>
      <c r="FN164" s="111"/>
      <c r="FO164" s="111"/>
      <c r="FP164" s="111"/>
      <c r="FQ164" s="111"/>
      <c r="FR164" s="111"/>
      <c r="FS164" s="111"/>
      <c r="FT164" s="111"/>
      <c r="FU164" s="111"/>
      <c r="FV164" s="111"/>
      <c r="FW164" s="111"/>
      <c r="FX164" s="111"/>
      <c r="FY164" s="111"/>
      <c r="FZ164" s="111"/>
      <c r="GA164" s="111"/>
      <c r="GB164" s="111"/>
      <c r="GC164" s="111"/>
      <c r="GD164" s="111"/>
      <c r="GE164" s="111"/>
      <c r="GF164" s="111"/>
      <c r="GG164" s="111"/>
      <c r="GH164" s="111"/>
    </row>
    <row r="165" ht="24" customHeight="1" spans="1:190">
      <c r="A165" s="302">
        <v>10</v>
      </c>
      <c r="B165" s="307" t="s">
        <v>532</v>
      </c>
      <c r="C165" s="304">
        <v>1</v>
      </c>
      <c r="D165" s="196"/>
      <c r="E165" s="305" t="s">
        <v>45</v>
      </c>
      <c r="F165" s="197">
        <v>280</v>
      </c>
      <c r="G165" s="198">
        <f t="shared" si="5"/>
        <v>280</v>
      </c>
      <c r="H165" s="244" t="s">
        <v>533</v>
      </c>
      <c r="I165" s="333" t="s">
        <v>534</v>
      </c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233"/>
      <c r="AB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83"/>
      <c r="AN165" s="233"/>
      <c r="AO165" s="233"/>
      <c r="AP165" s="236"/>
      <c r="AQ165" s="236"/>
      <c r="AR165" s="236"/>
      <c r="AS165" s="236"/>
      <c r="AT165" s="236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  <c r="BE165" s="236"/>
      <c r="BF165" s="236"/>
      <c r="BG165" s="236"/>
      <c r="BH165" s="236"/>
      <c r="BI165" s="236"/>
      <c r="BJ165" s="236"/>
      <c r="BK165" s="236"/>
      <c r="BL165" s="236"/>
      <c r="BM165" s="236"/>
      <c r="BN165" s="236"/>
      <c r="BO165" s="236"/>
      <c r="BP165" s="236"/>
      <c r="BQ165" s="236"/>
      <c r="BR165" s="236"/>
      <c r="BS165" s="236"/>
      <c r="BT165" s="236"/>
      <c r="BU165" s="236"/>
      <c r="BV165" s="236"/>
      <c r="BW165" s="236"/>
      <c r="BX165" s="236"/>
      <c r="BY165" s="236"/>
      <c r="BZ165" s="236"/>
      <c r="CA165" s="236"/>
      <c r="CB165" s="111"/>
      <c r="CC165" s="111"/>
      <c r="CD165" s="111"/>
      <c r="CE165" s="111"/>
      <c r="CF165" s="111"/>
      <c r="CG165" s="111"/>
      <c r="CH165" s="111"/>
      <c r="CI165" s="111"/>
      <c r="CJ165" s="111"/>
      <c r="CK165" s="111"/>
      <c r="CL165" s="111"/>
      <c r="CM165" s="111"/>
      <c r="CN165" s="111"/>
      <c r="CO165" s="111"/>
      <c r="CP165" s="111"/>
      <c r="CQ165" s="111"/>
      <c r="CR165" s="111"/>
      <c r="CS165" s="111"/>
      <c r="CT165" s="111"/>
      <c r="CU165" s="111"/>
      <c r="CV165" s="111"/>
      <c r="CW165" s="111"/>
      <c r="CX165" s="111"/>
      <c r="CY165" s="111"/>
      <c r="CZ165" s="111"/>
      <c r="DA165" s="111"/>
      <c r="DB165" s="111"/>
      <c r="DC165" s="111"/>
      <c r="DD165" s="111"/>
      <c r="DE165" s="111"/>
      <c r="DF165" s="111"/>
      <c r="DG165" s="111"/>
      <c r="DH165" s="111"/>
      <c r="DI165" s="111"/>
      <c r="DJ165" s="111"/>
      <c r="DK165" s="111"/>
      <c r="DL165" s="111"/>
      <c r="DM165" s="111"/>
      <c r="DN165" s="111"/>
      <c r="DO165" s="111"/>
      <c r="DP165" s="111"/>
      <c r="DQ165" s="111"/>
      <c r="DR165" s="111"/>
      <c r="DS165" s="111"/>
      <c r="DT165" s="111"/>
      <c r="DU165" s="111"/>
      <c r="DV165" s="111"/>
      <c r="DW165" s="111"/>
      <c r="DX165" s="111"/>
      <c r="DY165" s="111"/>
      <c r="DZ165" s="111"/>
      <c r="EA165" s="111"/>
      <c r="EB165" s="111"/>
      <c r="EC165" s="111"/>
      <c r="ED165" s="111"/>
      <c r="EE165" s="111"/>
      <c r="EF165" s="111"/>
      <c r="EG165" s="111"/>
      <c r="EH165" s="111"/>
      <c r="EI165" s="111"/>
      <c r="EJ165" s="111"/>
      <c r="EK165" s="111"/>
      <c r="EL165" s="111"/>
      <c r="EM165" s="111"/>
      <c r="EN165" s="111"/>
      <c r="EO165" s="111"/>
      <c r="EP165" s="111"/>
      <c r="EQ165" s="111"/>
      <c r="ER165" s="111"/>
      <c r="ES165" s="111"/>
      <c r="ET165" s="111"/>
      <c r="EU165" s="111"/>
      <c r="EV165" s="111"/>
      <c r="EW165" s="111"/>
      <c r="EX165" s="111"/>
      <c r="EY165" s="111"/>
      <c r="EZ165" s="111"/>
      <c r="FA165" s="111"/>
      <c r="FB165" s="111"/>
      <c r="FC165" s="111"/>
      <c r="FD165" s="111"/>
      <c r="FE165" s="111"/>
      <c r="FF165" s="111"/>
      <c r="FG165" s="111"/>
      <c r="FH165" s="111"/>
      <c r="FI165" s="111"/>
      <c r="FJ165" s="111"/>
      <c r="FK165" s="111"/>
      <c r="FL165" s="111"/>
      <c r="FM165" s="111"/>
      <c r="FN165" s="111"/>
      <c r="FO165" s="111"/>
      <c r="FP165" s="111"/>
      <c r="FQ165" s="111"/>
      <c r="FR165" s="111"/>
      <c r="FS165" s="111"/>
      <c r="FT165" s="111"/>
      <c r="FU165" s="111"/>
      <c r="FV165" s="111"/>
      <c r="FW165" s="111"/>
      <c r="FX165" s="111"/>
      <c r="FY165" s="111"/>
      <c r="FZ165" s="111"/>
      <c r="GA165" s="111"/>
      <c r="GB165" s="111"/>
      <c r="GC165" s="111"/>
      <c r="GD165" s="111"/>
      <c r="GE165" s="111"/>
      <c r="GF165" s="111"/>
      <c r="GG165" s="111"/>
      <c r="GH165" s="111"/>
    </row>
    <row r="166" ht="27.9" customHeight="1" spans="1:190">
      <c r="A166" s="302">
        <v>11</v>
      </c>
      <c r="B166" s="267" t="s">
        <v>535</v>
      </c>
      <c r="C166" s="304">
        <v>1</v>
      </c>
      <c r="D166" s="196"/>
      <c r="E166" s="305" t="s">
        <v>26</v>
      </c>
      <c r="F166" s="62">
        <v>100</v>
      </c>
      <c r="G166" s="198">
        <f t="shared" si="5"/>
        <v>100</v>
      </c>
      <c r="H166" s="306" t="s">
        <v>525</v>
      </c>
      <c r="I166" s="281" t="s">
        <v>536</v>
      </c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233"/>
      <c r="AB166" s="233"/>
      <c r="AC166" s="233"/>
      <c r="AD166" s="233"/>
      <c r="AE166" s="233"/>
      <c r="AF166" s="283"/>
      <c r="AG166" s="233"/>
      <c r="AH166" s="339"/>
      <c r="AI166" s="339"/>
      <c r="AJ166" s="339"/>
      <c r="AK166" s="339"/>
      <c r="AL166" s="339"/>
      <c r="AM166" s="339"/>
      <c r="AN166" s="339"/>
      <c r="AO166" s="233"/>
      <c r="AP166" s="236"/>
      <c r="AQ166" s="236"/>
      <c r="AR166" s="236"/>
      <c r="AS166" s="236"/>
      <c r="AT166" s="236"/>
      <c r="AU166" s="236"/>
      <c r="AV166" s="236"/>
      <c r="AW166" s="236"/>
      <c r="AX166" s="236"/>
      <c r="AY166" s="236"/>
      <c r="AZ166" s="236"/>
      <c r="BA166" s="236"/>
      <c r="BB166" s="236"/>
      <c r="BC166" s="236"/>
      <c r="BD166" s="236"/>
      <c r="BE166" s="236"/>
      <c r="BF166" s="236"/>
      <c r="BG166" s="236"/>
      <c r="BH166" s="236"/>
      <c r="BI166" s="236"/>
      <c r="BJ166" s="236"/>
      <c r="BK166" s="236"/>
      <c r="BL166" s="236"/>
      <c r="BM166" s="236"/>
      <c r="BN166" s="236"/>
      <c r="BO166" s="236"/>
      <c r="BP166" s="236"/>
      <c r="BQ166" s="236"/>
      <c r="BR166" s="236"/>
      <c r="BS166" s="236"/>
      <c r="BT166" s="236"/>
      <c r="BU166" s="236"/>
      <c r="BV166" s="236"/>
      <c r="BW166" s="236"/>
      <c r="BX166" s="236"/>
      <c r="BY166" s="236"/>
      <c r="BZ166" s="236"/>
      <c r="CA166" s="236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  <c r="CO166" s="111"/>
      <c r="CP166" s="111"/>
      <c r="CQ166" s="111"/>
      <c r="CR166" s="111"/>
      <c r="CS166" s="111"/>
      <c r="CT166" s="111"/>
      <c r="CU166" s="111"/>
      <c r="CV166" s="111"/>
      <c r="CW166" s="111"/>
      <c r="CX166" s="111"/>
      <c r="CY166" s="111"/>
      <c r="CZ166" s="111"/>
      <c r="DA166" s="111"/>
      <c r="DB166" s="111"/>
      <c r="DC166" s="111"/>
      <c r="DD166" s="111"/>
      <c r="DE166" s="111"/>
      <c r="DF166" s="111"/>
      <c r="DG166" s="111"/>
      <c r="DH166" s="111"/>
      <c r="DI166" s="111"/>
      <c r="DJ166" s="111"/>
      <c r="DK166" s="111"/>
      <c r="DL166" s="111"/>
      <c r="DM166" s="111"/>
      <c r="DN166" s="111"/>
      <c r="DO166" s="111"/>
      <c r="DP166" s="111"/>
      <c r="DQ166" s="111"/>
      <c r="DR166" s="111"/>
      <c r="DS166" s="111"/>
      <c r="DT166" s="111"/>
      <c r="DU166" s="111"/>
      <c r="DV166" s="111"/>
      <c r="DW166" s="111"/>
      <c r="DX166" s="111"/>
      <c r="DY166" s="111"/>
      <c r="DZ166" s="111"/>
      <c r="EA166" s="111"/>
      <c r="EB166" s="111"/>
      <c r="EC166" s="111"/>
      <c r="ED166" s="111"/>
      <c r="EE166" s="111"/>
      <c r="EF166" s="111"/>
      <c r="EG166" s="111"/>
      <c r="EH166" s="111"/>
      <c r="EI166" s="111"/>
      <c r="EJ166" s="111"/>
      <c r="EK166" s="111"/>
      <c r="EL166" s="111"/>
      <c r="EM166" s="111"/>
      <c r="EN166" s="111"/>
      <c r="EO166" s="111"/>
      <c r="EP166" s="111"/>
      <c r="EQ166" s="111"/>
      <c r="ER166" s="111"/>
      <c r="ES166" s="111"/>
      <c r="ET166" s="111"/>
      <c r="EU166" s="111"/>
      <c r="EV166" s="111"/>
      <c r="EW166" s="111"/>
      <c r="EX166" s="111"/>
      <c r="EY166" s="111"/>
      <c r="EZ166" s="111"/>
      <c r="FA166" s="111"/>
      <c r="FB166" s="111"/>
      <c r="FC166" s="111"/>
      <c r="FD166" s="111"/>
      <c r="FE166" s="111"/>
      <c r="FF166" s="111"/>
      <c r="FG166" s="111"/>
      <c r="FH166" s="111"/>
      <c r="FI166" s="111"/>
      <c r="FJ166" s="111"/>
      <c r="FK166" s="111"/>
      <c r="FL166" s="111"/>
      <c r="FM166" s="111"/>
      <c r="FN166" s="111"/>
      <c r="FO166" s="111"/>
      <c r="FP166" s="111"/>
      <c r="FQ166" s="111"/>
      <c r="FR166" s="111"/>
      <c r="FS166" s="111"/>
      <c r="FT166" s="111"/>
      <c r="FU166" s="111"/>
      <c r="FV166" s="111"/>
      <c r="FW166" s="111"/>
      <c r="FX166" s="111"/>
      <c r="FY166" s="111"/>
      <c r="FZ166" s="111"/>
      <c r="GA166" s="111"/>
      <c r="GB166" s="111"/>
      <c r="GC166" s="111"/>
      <c r="GD166" s="111"/>
      <c r="GE166" s="111"/>
      <c r="GF166" s="111"/>
      <c r="GG166" s="111"/>
      <c r="GH166" s="111"/>
    </row>
    <row r="167" customHeight="1" spans="1:9">
      <c r="A167" s="250"/>
      <c r="B167" s="251"/>
      <c r="C167" s="159"/>
      <c r="D167" s="252"/>
      <c r="E167" s="251"/>
      <c r="F167" s="161"/>
      <c r="G167" s="253" t="s">
        <v>358</v>
      </c>
      <c r="H167" s="254">
        <f>SUM(G155:G167)</f>
        <v>5650</v>
      </c>
      <c r="I167" s="273"/>
    </row>
    <row r="168" ht="15.9" customHeight="1" spans="1:9">
      <c r="A168" s="255" t="s">
        <v>537</v>
      </c>
      <c r="B168" s="256"/>
      <c r="C168" s="159"/>
      <c r="D168" s="257"/>
      <c r="E168" s="256"/>
      <c r="F168" s="258"/>
      <c r="G168" s="259"/>
      <c r="H168" s="256"/>
      <c r="I168" s="274"/>
    </row>
    <row r="169" s="113" customFormat="1" ht="16.5" customHeight="1" spans="1:9">
      <c r="A169" s="157" t="s">
        <v>15</v>
      </c>
      <c r="B169" s="158" t="s">
        <v>16</v>
      </c>
      <c r="C169" s="159" t="s">
        <v>17</v>
      </c>
      <c r="D169" s="160" t="s">
        <v>96</v>
      </c>
      <c r="E169" s="158" t="s">
        <v>18</v>
      </c>
      <c r="F169" s="161" t="s">
        <v>19</v>
      </c>
      <c r="G169" s="162" t="s">
        <v>149</v>
      </c>
      <c r="H169" s="163" t="s">
        <v>150</v>
      </c>
      <c r="I169" s="224" t="s">
        <v>22</v>
      </c>
    </row>
    <row r="170" s="111" customFormat="1" customHeight="1" spans="1:145">
      <c r="A170" s="308">
        <v>1</v>
      </c>
      <c r="B170" s="199" t="s">
        <v>538</v>
      </c>
      <c r="C170" s="309"/>
      <c r="D170" s="196"/>
      <c r="E170" s="197" t="s">
        <v>164</v>
      </c>
      <c r="F170" s="197">
        <v>150</v>
      </c>
      <c r="G170" s="310">
        <f>C170*F170</f>
        <v>0</v>
      </c>
      <c r="H170" s="311" t="s">
        <v>539</v>
      </c>
      <c r="I170" s="279" t="s">
        <v>540</v>
      </c>
      <c r="J170" s="230"/>
      <c r="CO170" s="233"/>
      <c r="CP170" s="233"/>
      <c r="CQ170" s="233"/>
      <c r="CR170" s="233"/>
      <c r="CS170" s="233"/>
      <c r="CT170" s="233"/>
      <c r="CU170" s="233"/>
      <c r="CV170" s="233"/>
      <c r="CW170" s="233"/>
      <c r="CX170" s="233"/>
      <c r="CY170" s="233"/>
      <c r="CZ170" s="233"/>
      <c r="DA170" s="233"/>
      <c r="DB170" s="233"/>
      <c r="DC170" s="233"/>
      <c r="DD170" s="236"/>
      <c r="DE170" s="236"/>
      <c r="DF170" s="236"/>
      <c r="DG170" s="236"/>
      <c r="DH170" s="236"/>
      <c r="DI170" s="236"/>
      <c r="DJ170" s="236"/>
      <c r="DK170" s="236"/>
      <c r="DL170" s="236"/>
      <c r="DM170" s="236"/>
      <c r="DN170" s="236"/>
      <c r="DO170" s="236"/>
      <c r="DP170" s="236"/>
      <c r="DQ170" s="236"/>
      <c r="DR170" s="236"/>
      <c r="DS170" s="236"/>
      <c r="DT170" s="236"/>
      <c r="DU170" s="236"/>
      <c r="DV170" s="236"/>
      <c r="DW170" s="236"/>
      <c r="DX170" s="236"/>
      <c r="DY170" s="236"/>
      <c r="DZ170" s="236"/>
      <c r="EA170" s="236"/>
      <c r="EB170" s="236"/>
      <c r="EC170" s="236"/>
      <c r="ED170" s="236"/>
      <c r="EE170" s="236"/>
      <c r="EF170" s="236"/>
      <c r="EG170" s="236"/>
      <c r="EH170" s="236"/>
      <c r="EI170" s="236"/>
      <c r="EJ170" s="236"/>
      <c r="EK170" s="236"/>
      <c r="EL170" s="236"/>
      <c r="EM170" s="236"/>
      <c r="EN170" s="236"/>
      <c r="EO170" s="236"/>
    </row>
    <row r="171" s="111" customFormat="1" customHeight="1" spans="1:145">
      <c r="A171" s="308">
        <v>2</v>
      </c>
      <c r="B171" s="199" t="s">
        <v>541</v>
      </c>
      <c r="C171" s="309"/>
      <c r="D171" s="312"/>
      <c r="E171" s="197" t="s">
        <v>164</v>
      </c>
      <c r="F171" s="197">
        <v>240</v>
      </c>
      <c r="G171" s="310">
        <f>C171*F171</f>
        <v>0</v>
      </c>
      <c r="H171" s="311"/>
      <c r="I171" s="279" t="s">
        <v>542</v>
      </c>
      <c r="J171" s="230"/>
      <c r="CO171" s="233"/>
      <c r="CP171" s="233"/>
      <c r="CQ171" s="233"/>
      <c r="CR171" s="233"/>
      <c r="CS171" s="233"/>
      <c r="CT171" s="233"/>
      <c r="CU171" s="233"/>
      <c r="CV171" s="233"/>
      <c r="CW171" s="233"/>
      <c r="CX171" s="233"/>
      <c r="CY171" s="233"/>
      <c r="CZ171" s="233"/>
      <c r="DA171" s="233"/>
      <c r="DB171" s="233"/>
      <c r="DC171" s="233"/>
      <c r="DD171" s="236"/>
      <c r="DE171" s="236"/>
      <c r="DF171" s="236"/>
      <c r="DG171" s="236"/>
      <c r="DH171" s="236"/>
      <c r="DI171" s="236"/>
      <c r="DJ171" s="236"/>
      <c r="DK171" s="236"/>
      <c r="DL171" s="236"/>
      <c r="DM171" s="236"/>
      <c r="DN171" s="236"/>
      <c r="DO171" s="236"/>
      <c r="DP171" s="236"/>
      <c r="DQ171" s="236"/>
      <c r="DR171" s="236"/>
      <c r="DS171" s="236"/>
      <c r="DT171" s="236"/>
      <c r="DU171" s="236"/>
      <c r="DV171" s="236"/>
      <c r="DW171" s="236"/>
      <c r="DX171" s="236"/>
      <c r="DY171" s="236"/>
      <c r="DZ171" s="236"/>
      <c r="EA171" s="236"/>
      <c r="EB171" s="236"/>
      <c r="EC171" s="236"/>
      <c r="ED171" s="236"/>
      <c r="EE171" s="236"/>
      <c r="EF171" s="236"/>
      <c r="EG171" s="236"/>
      <c r="EH171" s="236"/>
      <c r="EI171" s="236"/>
      <c r="EJ171" s="236"/>
      <c r="EK171" s="236"/>
      <c r="EL171" s="236"/>
      <c r="EM171" s="236"/>
      <c r="EN171" s="236"/>
      <c r="EO171" s="236"/>
    </row>
    <row r="172" s="111" customFormat="1" customHeight="1" spans="1:145">
      <c r="A172" s="308">
        <v>3</v>
      </c>
      <c r="B172" s="195" t="s">
        <v>543</v>
      </c>
      <c r="C172" s="309"/>
      <c r="D172" s="196"/>
      <c r="E172" s="197" t="s">
        <v>187</v>
      </c>
      <c r="F172" s="197">
        <v>30</v>
      </c>
      <c r="G172" s="310">
        <f>C172*F172</f>
        <v>0</v>
      </c>
      <c r="H172" s="311" t="s">
        <v>544</v>
      </c>
      <c r="I172" s="279" t="s">
        <v>545</v>
      </c>
      <c r="J172" s="230"/>
      <c r="CO172" s="233"/>
      <c r="CP172" s="233"/>
      <c r="CQ172" s="233"/>
      <c r="CR172" s="233"/>
      <c r="CS172" s="233"/>
      <c r="CT172" s="233"/>
      <c r="CU172" s="233"/>
      <c r="CV172" s="233"/>
      <c r="CW172" s="233"/>
      <c r="CX172" s="233"/>
      <c r="CY172" s="233"/>
      <c r="CZ172" s="233"/>
      <c r="DA172" s="233"/>
      <c r="DB172" s="233"/>
      <c r="DC172" s="233"/>
      <c r="DD172" s="236"/>
      <c r="DE172" s="236"/>
      <c r="DF172" s="236"/>
      <c r="DG172" s="236"/>
      <c r="DH172" s="236"/>
      <c r="DI172" s="236"/>
      <c r="DJ172" s="236"/>
      <c r="DK172" s="236"/>
      <c r="DL172" s="236"/>
      <c r="DM172" s="236"/>
      <c r="DN172" s="236"/>
      <c r="DO172" s="236"/>
      <c r="DP172" s="236"/>
      <c r="DQ172" s="236"/>
      <c r="DR172" s="236"/>
      <c r="DS172" s="236"/>
      <c r="DT172" s="236"/>
      <c r="DU172" s="236"/>
      <c r="DV172" s="236"/>
      <c r="DW172" s="236"/>
      <c r="DX172" s="236"/>
      <c r="DY172" s="236"/>
      <c r="DZ172" s="236"/>
      <c r="EA172" s="236"/>
      <c r="EB172" s="236"/>
      <c r="EC172" s="236"/>
      <c r="ED172" s="236"/>
      <c r="EE172" s="236"/>
      <c r="EF172" s="236"/>
      <c r="EG172" s="236"/>
      <c r="EH172" s="236"/>
      <c r="EI172" s="236"/>
      <c r="EJ172" s="236"/>
      <c r="EK172" s="236"/>
      <c r="EL172" s="236"/>
      <c r="EM172" s="236"/>
      <c r="EN172" s="236"/>
      <c r="EO172" s="236"/>
    </row>
    <row r="173" customHeight="1" spans="1:9">
      <c r="A173" s="250"/>
      <c r="B173" s="251"/>
      <c r="C173" s="159"/>
      <c r="D173" s="252"/>
      <c r="E173" s="251"/>
      <c r="F173" s="161"/>
      <c r="G173" s="253" t="s">
        <v>358</v>
      </c>
      <c r="H173" s="254">
        <f>SUM(G169:G173)</f>
        <v>0</v>
      </c>
      <c r="I173" s="273"/>
    </row>
    <row r="174" ht="15.9" customHeight="1" spans="1:9">
      <c r="A174" s="255" t="s">
        <v>546</v>
      </c>
      <c r="B174" s="256"/>
      <c r="C174" s="159"/>
      <c r="D174" s="257"/>
      <c r="E174" s="256"/>
      <c r="F174" s="258"/>
      <c r="G174" s="259"/>
      <c r="H174" s="256"/>
      <c r="I174" s="274"/>
    </row>
    <row r="175" s="113" customFormat="1" ht="16.5" customHeight="1" spans="1:9">
      <c r="A175" s="157" t="s">
        <v>15</v>
      </c>
      <c r="B175" s="158" t="s">
        <v>16</v>
      </c>
      <c r="C175" s="159" t="s">
        <v>17</v>
      </c>
      <c r="D175" s="160" t="s">
        <v>96</v>
      </c>
      <c r="E175" s="158" t="s">
        <v>18</v>
      </c>
      <c r="F175" s="161" t="s">
        <v>19</v>
      </c>
      <c r="G175" s="162" t="s">
        <v>149</v>
      </c>
      <c r="H175" s="163" t="s">
        <v>150</v>
      </c>
      <c r="I175" s="224" t="s">
        <v>22</v>
      </c>
    </row>
    <row r="176" customHeight="1" spans="1:9">
      <c r="A176" s="164">
        <v>1</v>
      </c>
      <c r="B176" s="58" t="s">
        <v>547</v>
      </c>
      <c r="C176" s="59">
        <v>1</v>
      </c>
      <c r="D176" s="186"/>
      <c r="E176" s="175" t="s">
        <v>164</v>
      </c>
      <c r="F176" s="62">
        <v>198</v>
      </c>
      <c r="G176" s="63">
        <f t="shared" ref="G176:G184" si="6">C176*F176</f>
        <v>198</v>
      </c>
      <c r="H176" s="64" t="s">
        <v>548</v>
      </c>
      <c r="I176" s="334" t="s">
        <v>549</v>
      </c>
    </row>
    <row r="177" ht="24.75" customHeight="1" spans="1:9">
      <c r="A177" s="164">
        <v>2</v>
      </c>
      <c r="B177" s="58" t="s">
        <v>550</v>
      </c>
      <c r="C177" s="59">
        <v>1</v>
      </c>
      <c r="D177" s="186"/>
      <c r="E177" s="175" t="s">
        <v>164</v>
      </c>
      <c r="F177" s="62">
        <v>145</v>
      </c>
      <c r="G177" s="63">
        <f t="shared" si="6"/>
        <v>145</v>
      </c>
      <c r="H177" s="64" t="s">
        <v>551</v>
      </c>
      <c r="I177" s="97" t="s">
        <v>552</v>
      </c>
    </row>
    <row r="178" s="111" customFormat="1" ht="22.5" customHeight="1" spans="1:65">
      <c r="A178" s="164">
        <v>3</v>
      </c>
      <c r="B178" s="199" t="s">
        <v>553</v>
      </c>
      <c r="C178" s="59">
        <v>1</v>
      </c>
      <c r="D178" s="196"/>
      <c r="E178" s="269" t="s">
        <v>164</v>
      </c>
      <c r="F178" s="62">
        <v>430</v>
      </c>
      <c r="G178" s="198">
        <f t="shared" si="6"/>
        <v>430</v>
      </c>
      <c r="H178" s="313" t="s">
        <v>554</v>
      </c>
      <c r="I178" s="97" t="s">
        <v>555</v>
      </c>
      <c r="J178" s="230"/>
      <c r="M178" s="233" t="s">
        <v>554</v>
      </c>
      <c r="N178" s="233" t="s">
        <v>556</v>
      </c>
      <c r="O178" s="233" t="s">
        <v>557</v>
      </c>
      <c r="P178" s="233"/>
      <c r="Q178" s="233">
        <v>430</v>
      </c>
      <c r="R178" s="233">
        <v>290</v>
      </c>
      <c r="S178" s="233">
        <v>380</v>
      </c>
      <c r="T178" s="233"/>
      <c r="U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  <c r="AG178" s="233"/>
      <c r="AH178" s="233"/>
      <c r="AI178" s="233"/>
      <c r="AJ178" s="233"/>
      <c r="AK178" s="233"/>
      <c r="AL178" s="233"/>
      <c r="AM178" s="233"/>
      <c r="AN178" s="233"/>
      <c r="AO178" s="233"/>
      <c r="AP178" s="233"/>
      <c r="AQ178" s="233"/>
      <c r="AR178" s="233"/>
      <c r="AS178" s="233"/>
      <c r="AT178" s="233"/>
      <c r="AU178" s="233"/>
      <c r="AV178" s="233"/>
      <c r="AW178" s="233"/>
      <c r="AX178" s="233"/>
      <c r="AY178" s="233"/>
      <c r="AZ178" s="233"/>
      <c r="BA178" s="233"/>
      <c r="BB178" s="233"/>
      <c r="BC178" s="233"/>
      <c r="BD178" s="236"/>
      <c r="BE178" s="236"/>
      <c r="BF178" s="236"/>
      <c r="BG178" s="236"/>
      <c r="BH178" s="236"/>
      <c r="BI178" s="236"/>
      <c r="BJ178" s="236"/>
      <c r="BK178" s="236"/>
      <c r="BL178" s="236"/>
      <c r="BM178" s="236"/>
    </row>
    <row r="179" ht="17.25" customHeight="1" spans="1:9">
      <c r="A179" s="164">
        <v>4</v>
      </c>
      <c r="B179" s="58" t="s">
        <v>558</v>
      </c>
      <c r="C179" s="59">
        <v>1</v>
      </c>
      <c r="D179" s="186"/>
      <c r="E179" s="175" t="s">
        <v>164</v>
      </c>
      <c r="F179" s="167">
        <v>8</v>
      </c>
      <c r="G179" s="63">
        <f t="shared" si="6"/>
        <v>8</v>
      </c>
      <c r="H179" s="168"/>
      <c r="I179" s="101" t="s">
        <v>559</v>
      </c>
    </row>
    <row r="180" ht="17.25" customHeight="1" spans="1:9">
      <c r="A180" s="164">
        <v>5</v>
      </c>
      <c r="B180" s="58" t="s">
        <v>560</v>
      </c>
      <c r="C180" s="59">
        <v>1</v>
      </c>
      <c r="D180" s="186"/>
      <c r="E180" s="175" t="s">
        <v>164</v>
      </c>
      <c r="F180" s="62">
        <v>8</v>
      </c>
      <c r="G180" s="63">
        <f t="shared" si="6"/>
        <v>8</v>
      </c>
      <c r="H180" s="168"/>
      <c r="I180" s="101" t="s">
        <v>561</v>
      </c>
    </row>
    <row r="181" ht="17.25" customHeight="1" spans="1:9">
      <c r="A181" s="164">
        <v>6</v>
      </c>
      <c r="B181" s="58" t="s">
        <v>562</v>
      </c>
      <c r="C181" s="59">
        <v>1</v>
      </c>
      <c r="D181" s="186"/>
      <c r="E181" s="175" t="s">
        <v>164</v>
      </c>
      <c r="F181" s="167">
        <v>10</v>
      </c>
      <c r="G181" s="63">
        <f t="shared" si="6"/>
        <v>10</v>
      </c>
      <c r="H181" s="168"/>
      <c r="I181" s="101" t="s">
        <v>563</v>
      </c>
    </row>
    <row r="182" ht="17.25" customHeight="1" spans="1:9">
      <c r="A182" s="164">
        <v>7</v>
      </c>
      <c r="B182" s="187" t="s">
        <v>564</v>
      </c>
      <c r="C182" s="59">
        <v>1</v>
      </c>
      <c r="D182" s="186"/>
      <c r="E182" s="175" t="s">
        <v>187</v>
      </c>
      <c r="F182" s="62">
        <v>20</v>
      </c>
      <c r="G182" s="63">
        <f t="shared" si="6"/>
        <v>20</v>
      </c>
      <c r="H182" s="64" t="s">
        <v>565</v>
      </c>
      <c r="I182" s="101" t="s">
        <v>566</v>
      </c>
    </row>
    <row r="183" ht="15" customHeight="1" spans="1:9">
      <c r="A183" s="164">
        <v>8</v>
      </c>
      <c r="B183" s="58" t="s">
        <v>567</v>
      </c>
      <c r="C183" s="59">
        <v>1</v>
      </c>
      <c r="D183" s="186"/>
      <c r="E183" s="175" t="s">
        <v>187</v>
      </c>
      <c r="F183" s="62">
        <v>40</v>
      </c>
      <c r="G183" s="63">
        <f t="shared" si="6"/>
        <v>40</v>
      </c>
      <c r="H183" s="168" t="s">
        <v>568</v>
      </c>
      <c r="I183" s="101" t="s">
        <v>569</v>
      </c>
    </row>
    <row r="184" ht="15" customHeight="1" spans="1:9">
      <c r="A184" s="164">
        <v>9</v>
      </c>
      <c r="B184" s="205" t="s">
        <v>570</v>
      </c>
      <c r="C184" s="59">
        <v>1</v>
      </c>
      <c r="D184" s="206"/>
      <c r="E184" s="314" t="s">
        <v>164</v>
      </c>
      <c r="F184" s="62">
        <v>380</v>
      </c>
      <c r="G184" s="63">
        <f t="shared" si="6"/>
        <v>380</v>
      </c>
      <c r="H184" s="315"/>
      <c r="I184" s="98" t="s">
        <v>571</v>
      </c>
    </row>
    <row r="185" customHeight="1" spans="1:9">
      <c r="A185" s="250"/>
      <c r="B185" s="251"/>
      <c r="C185" s="159"/>
      <c r="D185" s="252"/>
      <c r="E185" s="251"/>
      <c r="F185" s="161"/>
      <c r="G185" s="253" t="s">
        <v>358</v>
      </c>
      <c r="H185" s="254">
        <f>SUM(G175:G185)</f>
        <v>1239</v>
      </c>
      <c r="I185" s="101"/>
    </row>
    <row r="186" ht="15.9" customHeight="1" spans="1:9">
      <c r="A186" s="316" t="s">
        <v>572</v>
      </c>
      <c r="B186" s="256"/>
      <c r="C186" s="159"/>
      <c r="D186" s="257"/>
      <c r="E186" s="256"/>
      <c r="F186" s="258"/>
      <c r="G186" s="259"/>
      <c r="H186" s="256"/>
      <c r="I186" s="274"/>
    </row>
    <row r="187" s="113" customFormat="1" ht="16.5" customHeight="1" spans="1:9">
      <c r="A187" s="157" t="s">
        <v>15</v>
      </c>
      <c r="B187" s="158" t="s">
        <v>16</v>
      </c>
      <c r="C187" s="159" t="s">
        <v>17</v>
      </c>
      <c r="D187" s="160" t="s">
        <v>96</v>
      </c>
      <c r="E187" s="158" t="s">
        <v>18</v>
      </c>
      <c r="F187" s="161" t="s">
        <v>19</v>
      </c>
      <c r="G187" s="162" t="s">
        <v>149</v>
      </c>
      <c r="H187" s="163" t="s">
        <v>150</v>
      </c>
      <c r="I187" s="224" t="s">
        <v>22</v>
      </c>
    </row>
    <row r="188" ht="15" customHeight="1" spans="1:9">
      <c r="A188" s="317">
        <v>1</v>
      </c>
      <c r="B188" s="318" t="s">
        <v>573</v>
      </c>
      <c r="C188" s="319">
        <v>1</v>
      </c>
      <c r="D188" s="320"/>
      <c r="E188" s="321" t="s">
        <v>26</v>
      </c>
      <c r="F188" s="167">
        <v>8</v>
      </c>
      <c r="G188" s="63">
        <f>SUM(C188*F188)</f>
        <v>8</v>
      </c>
      <c r="H188" s="322"/>
      <c r="I188" s="335" t="s">
        <v>574</v>
      </c>
    </row>
    <row r="189" ht="15" customHeight="1" spans="1:9">
      <c r="A189" s="323">
        <v>2</v>
      </c>
      <c r="B189" s="324" t="s">
        <v>575</v>
      </c>
      <c r="C189" s="319">
        <v>1</v>
      </c>
      <c r="D189" s="186"/>
      <c r="E189" s="289" t="s">
        <v>187</v>
      </c>
      <c r="F189" s="325">
        <v>120</v>
      </c>
      <c r="G189" s="326">
        <f>SUM(C189*F189)</f>
        <v>120</v>
      </c>
      <c r="H189" s="327" t="s">
        <v>576</v>
      </c>
      <c r="I189" s="336" t="s">
        <v>577</v>
      </c>
    </row>
    <row r="190" ht="15" customHeight="1" spans="1:9">
      <c r="A190" s="323">
        <v>3</v>
      </c>
      <c r="B190" s="318" t="s">
        <v>578</v>
      </c>
      <c r="C190" s="319">
        <v>1</v>
      </c>
      <c r="D190" s="320"/>
      <c r="E190" s="321" t="s">
        <v>579</v>
      </c>
      <c r="F190" s="325">
        <v>25</v>
      </c>
      <c r="G190" s="326">
        <f>SUM(C190*F190)</f>
        <v>25</v>
      </c>
      <c r="H190" s="322"/>
      <c r="I190" s="335" t="s">
        <v>580</v>
      </c>
    </row>
    <row r="191" customHeight="1" spans="1:9">
      <c r="A191" s="250"/>
      <c r="B191" s="251"/>
      <c r="C191" s="159"/>
      <c r="D191" s="252"/>
      <c r="E191" s="251"/>
      <c r="F191" s="161"/>
      <c r="G191" s="253" t="s">
        <v>358</v>
      </c>
      <c r="H191" s="254">
        <f>SUM(G187:G191)</f>
        <v>153</v>
      </c>
      <c r="I191" s="337"/>
    </row>
    <row r="192" ht="15.9" customHeight="1" spans="1:9">
      <c r="A192" s="255" t="s">
        <v>581</v>
      </c>
      <c r="B192" s="256"/>
      <c r="C192" s="159"/>
      <c r="D192" s="257"/>
      <c r="E192" s="256"/>
      <c r="F192" s="258"/>
      <c r="G192" s="259"/>
      <c r="H192" s="256"/>
      <c r="I192" s="274"/>
    </row>
    <row r="193" s="113" customFormat="1" ht="16.5" customHeight="1" spans="1:9">
      <c r="A193" s="157" t="s">
        <v>15</v>
      </c>
      <c r="B193" s="158" t="s">
        <v>16</v>
      </c>
      <c r="C193" s="159" t="s">
        <v>17</v>
      </c>
      <c r="D193" s="160" t="s">
        <v>96</v>
      </c>
      <c r="E193" s="158" t="s">
        <v>18</v>
      </c>
      <c r="F193" s="161" t="s">
        <v>19</v>
      </c>
      <c r="G193" s="162" t="s">
        <v>149</v>
      </c>
      <c r="H193" s="163" t="s">
        <v>150</v>
      </c>
      <c r="I193" s="224" t="s">
        <v>22</v>
      </c>
    </row>
    <row r="194" ht="22.5" customHeight="1" spans="1:9">
      <c r="A194" s="164">
        <v>1</v>
      </c>
      <c r="B194" s="58" t="s">
        <v>582</v>
      </c>
      <c r="C194" s="59">
        <v>1</v>
      </c>
      <c r="D194" s="201">
        <f>IF(C3&lt;100,100,C3)</f>
        <v>100</v>
      </c>
      <c r="E194" s="175" t="s">
        <v>164</v>
      </c>
      <c r="F194" s="352">
        <v>30</v>
      </c>
      <c r="G194" s="63">
        <f>C194*F194</f>
        <v>30</v>
      </c>
      <c r="H194" s="306" t="s">
        <v>583</v>
      </c>
      <c r="I194" s="100" t="s">
        <v>584</v>
      </c>
    </row>
    <row r="195" customHeight="1" spans="1:9">
      <c r="A195" s="250"/>
      <c r="B195" s="251"/>
      <c r="C195" s="159"/>
      <c r="D195" s="252"/>
      <c r="E195" s="251"/>
      <c r="F195" s="161"/>
      <c r="G195" s="253" t="s">
        <v>358</v>
      </c>
      <c r="H195" s="254">
        <f>SUM(G193:G195)</f>
        <v>30</v>
      </c>
      <c r="I195" s="273"/>
    </row>
    <row r="196" ht="15" customHeight="1" spans="1:9">
      <c r="A196" s="353"/>
      <c r="B196" s="256"/>
      <c r="C196" s="159"/>
      <c r="D196" s="257"/>
      <c r="E196" s="354" t="s">
        <v>585</v>
      </c>
      <c r="F196" s="258"/>
      <c r="G196" s="355">
        <f>SUM(G6:G195)</f>
        <v>30773.62</v>
      </c>
      <c r="H196" s="355"/>
      <c r="I196" s="101" t="s">
        <v>586</v>
      </c>
    </row>
    <row r="197" ht="15" customHeight="1" spans="1:99">
      <c r="A197" s="353"/>
      <c r="B197" s="256"/>
      <c r="C197" s="256"/>
      <c r="D197" s="257"/>
      <c r="E197" s="354" t="s">
        <v>587</v>
      </c>
      <c r="F197" s="258"/>
      <c r="G197" s="356">
        <f>(G196)*10%</f>
        <v>3077.362</v>
      </c>
      <c r="H197" s="356"/>
      <c r="I197" s="101" t="s">
        <v>588</v>
      </c>
      <c r="CO197" s="378" t="s">
        <v>589</v>
      </c>
      <c r="CP197" s="378" t="s">
        <v>590</v>
      </c>
      <c r="CQ197" s="378" t="s">
        <v>591</v>
      </c>
      <c r="CR197" s="379" t="b">
        <f>IF(C197=CO197,CS197,IF(C197=CP197,CT197,IF(C197=CQ197,CU197)))</f>
        <v>0</v>
      </c>
      <c r="CS197" s="380">
        <v>0.1</v>
      </c>
      <c r="CT197" s="381">
        <v>0.15</v>
      </c>
      <c r="CU197" s="381">
        <v>0.18</v>
      </c>
    </row>
    <row r="198" ht="15" customHeight="1" spans="1:9">
      <c r="A198" s="353"/>
      <c r="B198" s="256"/>
      <c r="C198" s="159"/>
      <c r="D198" s="257"/>
      <c r="E198" s="354" t="s">
        <v>592</v>
      </c>
      <c r="F198" s="258"/>
      <c r="G198" s="357">
        <v>0</v>
      </c>
      <c r="H198" s="357"/>
      <c r="I198" s="101" t="s">
        <v>593</v>
      </c>
    </row>
    <row r="199" ht="15" customHeight="1" spans="1:9">
      <c r="A199" s="255"/>
      <c r="B199" s="354"/>
      <c r="C199" s="159" t="s">
        <v>13</v>
      </c>
      <c r="D199" s="354" t="s">
        <v>13</v>
      </c>
      <c r="E199" s="354" t="s">
        <v>594</v>
      </c>
      <c r="F199" s="258"/>
      <c r="G199" s="358">
        <f>SUM(G196:H198)</f>
        <v>33850.982</v>
      </c>
      <c r="H199" s="358"/>
      <c r="I199" s="101" t="s">
        <v>595</v>
      </c>
    </row>
    <row r="200" ht="15.9" hidden="1" customHeight="1" spans="1:9">
      <c r="A200" s="255" t="s">
        <v>596</v>
      </c>
      <c r="B200" s="256"/>
      <c r="C200" s="159"/>
      <c r="D200" s="257"/>
      <c r="E200" s="256"/>
      <c r="F200" s="258"/>
      <c r="G200" s="259"/>
      <c r="H200" s="256"/>
      <c r="I200" s="274"/>
    </row>
    <row r="201" s="113" customFormat="1" ht="16.5" hidden="1" customHeight="1" spans="1:9">
      <c r="A201" s="157" t="s">
        <v>15</v>
      </c>
      <c r="B201" s="158" t="s">
        <v>16</v>
      </c>
      <c r="C201" s="159" t="s">
        <v>17</v>
      </c>
      <c r="D201" s="160" t="s">
        <v>96</v>
      </c>
      <c r="E201" s="158" t="s">
        <v>18</v>
      </c>
      <c r="F201" s="161" t="s">
        <v>19</v>
      </c>
      <c r="G201" s="162" t="s">
        <v>149</v>
      </c>
      <c r="H201" s="163" t="s">
        <v>150</v>
      </c>
      <c r="I201" s="224" t="s">
        <v>22</v>
      </c>
    </row>
    <row r="202" ht="22.5" hidden="1" customHeight="1" spans="1:9">
      <c r="A202" s="317">
        <v>1</v>
      </c>
      <c r="B202" s="324" t="s">
        <v>597</v>
      </c>
      <c r="C202" s="319"/>
      <c r="D202" s="320"/>
      <c r="E202" s="175" t="s">
        <v>164</v>
      </c>
      <c r="F202" s="167">
        <v>420</v>
      </c>
      <c r="G202" s="63">
        <f t="shared" ref="G202:G207" si="7">C202*F202</f>
        <v>0</v>
      </c>
      <c r="H202" s="359" t="s">
        <v>598</v>
      </c>
      <c r="I202" s="374" t="s">
        <v>599</v>
      </c>
    </row>
    <row r="203" ht="23.25" hidden="1" customHeight="1" spans="1:9">
      <c r="A203" s="317">
        <v>2</v>
      </c>
      <c r="B203" s="360" t="s">
        <v>600</v>
      </c>
      <c r="C203" s="319"/>
      <c r="D203" s="320"/>
      <c r="E203" s="175" t="s">
        <v>164</v>
      </c>
      <c r="F203" s="167">
        <v>520</v>
      </c>
      <c r="G203" s="63">
        <f t="shared" si="7"/>
        <v>0</v>
      </c>
      <c r="H203" s="359" t="s">
        <v>601</v>
      </c>
      <c r="I203" s="374" t="s">
        <v>599</v>
      </c>
    </row>
    <row r="204" ht="15.75" hidden="1" customHeight="1" spans="1:9">
      <c r="A204" s="317">
        <v>3</v>
      </c>
      <c r="B204" s="324" t="s">
        <v>602</v>
      </c>
      <c r="C204" s="319"/>
      <c r="D204" s="320"/>
      <c r="E204" s="175" t="s">
        <v>26</v>
      </c>
      <c r="F204" s="167">
        <v>180</v>
      </c>
      <c r="G204" s="63">
        <f t="shared" si="7"/>
        <v>0</v>
      </c>
      <c r="H204" s="327" t="s">
        <v>603</v>
      </c>
      <c r="I204" s="374" t="s">
        <v>604</v>
      </c>
    </row>
    <row r="205" hidden="1" customHeight="1" spans="1:9">
      <c r="A205" s="317">
        <v>4</v>
      </c>
      <c r="B205" s="360" t="s">
        <v>605</v>
      </c>
      <c r="C205" s="319"/>
      <c r="D205" s="320"/>
      <c r="E205" s="175" t="s">
        <v>164</v>
      </c>
      <c r="F205" s="167">
        <v>1585</v>
      </c>
      <c r="G205" s="63">
        <f t="shared" si="7"/>
        <v>0</v>
      </c>
      <c r="H205" s="359" t="s">
        <v>598</v>
      </c>
      <c r="I205" s="374" t="s">
        <v>606</v>
      </c>
    </row>
    <row r="206" ht="21" hidden="1" customHeight="1" spans="1:9">
      <c r="A206" s="317">
        <v>5</v>
      </c>
      <c r="B206" s="360" t="s">
        <v>607</v>
      </c>
      <c r="C206" s="319"/>
      <c r="D206" s="320"/>
      <c r="E206" s="175" t="s">
        <v>164</v>
      </c>
      <c r="F206" s="167">
        <v>1745</v>
      </c>
      <c r="G206" s="63">
        <f t="shared" si="7"/>
        <v>0</v>
      </c>
      <c r="H206" s="359" t="s">
        <v>601</v>
      </c>
      <c r="I206" s="374" t="s">
        <v>606</v>
      </c>
    </row>
    <row r="207" ht="15" hidden="1" customHeight="1" spans="1:9">
      <c r="A207" s="317">
        <v>6</v>
      </c>
      <c r="B207" s="324" t="s">
        <v>608</v>
      </c>
      <c r="C207" s="319"/>
      <c r="D207" s="320"/>
      <c r="E207" s="175" t="s">
        <v>26</v>
      </c>
      <c r="F207" s="167">
        <v>380</v>
      </c>
      <c r="G207" s="63">
        <f t="shared" si="7"/>
        <v>0</v>
      </c>
      <c r="H207" s="327" t="s">
        <v>603</v>
      </c>
      <c r="I207" s="374" t="s">
        <v>604</v>
      </c>
    </row>
    <row r="208" hidden="1" customHeight="1" spans="1:9">
      <c r="A208" s="250"/>
      <c r="B208" s="251"/>
      <c r="C208" s="159"/>
      <c r="D208" s="252"/>
      <c r="E208" s="158" t="s">
        <v>609</v>
      </c>
      <c r="F208" s="158"/>
      <c r="G208" s="158"/>
      <c r="H208" s="213">
        <f>SUM(G201:G208)</f>
        <v>0</v>
      </c>
      <c r="I208" s="101" t="s">
        <v>610</v>
      </c>
    </row>
    <row r="209" ht="15" hidden="1" customHeight="1" spans="1:9">
      <c r="A209" s="255"/>
      <c r="B209" s="354"/>
      <c r="C209" s="159" t="s">
        <v>611</v>
      </c>
      <c r="D209" s="354" t="s">
        <v>13</v>
      </c>
      <c r="E209" s="354"/>
      <c r="F209" s="258"/>
      <c r="G209" s="361">
        <f>H208+G199</f>
        <v>33850.982</v>
      </c>
      <c r="H209" s="361"/>
      <c r="I209" s="101" t="s">
        <v>612</v>
      </c>
    </row>
    <row r="210" ht="15.9" customHeight="1" spans="1:9">
      <c r="A210" s="255" t="s">
        <v>613</v>
      </c>
      <c r="B210" s="256"/>
      <c r="C210" s="159"/>
      <c r="D210" s="257"/>
      <c r="E210" s="256"/>
      <c r="F210" s="258"/>
      <c r="G210" s="259"/>
      <c r="H210" s="256"/>
      <c r="I210" s="274"/>
    </row>
    <row r="211" ht="14.1" customHeight="1" spans="1:9">
      <c r="A211" s="362" t="s">
        <v>614</v>
      </c>
      <c r="B211" s="363"/>
      <c r="C211" s="59"/>
      <c r="D211" s="363"/>
      <c r="E211" s="363"/>
      <c r="F211" s="364"/>
      <c r="G211" s="365"/>
      <c r="H211" s="363"/>
      <c r="I211" s="375"/>
    </row>
    <row r="212" ht="14.1" customHeight="1" spans="1:9">
      <c r="A212" s="362" t="s">
        <v>615</v>
      </c>
      <c r="B212" s="363"/>
      <c r="C212" s="59"/>
      <c r="D212" s="363"/>
      <c r="E212" s="363"/>
      <c r="F212" s="364"/>
      <c r="G212" s="365"/>
      <c r="H212" s="363"/>
      <c r="I212" s="375"/>
    </row>
    <row r="213" ht="14.1" customHeight="1" spans="1:9">
      <c r="A213" s="362" t="s">
        <v>616</v>
      </c>
      <c r="B213" s="363"/>
      <c r="C213" s="59"/>
      <c r="D213" s="363"/>
      <c r="E213" s="363"/>
      <c r="F213" s="364"/>
      <c r="G213" s="365"/>
      <c r="H213" s="363"/>
      <c r="I213" s="375"/>
    </row>
    <row r="214" ht="14.1" customHeight="1" spans="1:9">
      <c r="A214" s="362" t="s">
        <v>617</v>
      </c>
      <c r="B214" s="363"/>
      <c r="C214" s="59"/>
      <c r="D214" s="363"/>
      <c r="E214" s="363"/>
      <c r="F214" s="364"/>
      <c r="G214" s="365"/>
      <c r="H214" s="363"/>
      <c r="I214" s="375"/>
    </row>
    <row r="215" ht="14.1" customHeight="1" spans="1:9">
      <c r="A215" s="362" t="s">
        <v>618</v>
      </c>
      <c r="B215" s="363"/>
      <c r="C215" s="59"/>
      <c r="D215" s="363"/>
      <c r="E215" s="363"/>
      <c r="F215" s="364"/>
      <c r="G215" s="365"/>
      <c r="H215" s="363"/>
      <c r="I215" s="375"/>
    </row>
    <row r="216" ht="14.1" customHeight="1" spans="1:9">
      <c r="A216" s="366" t="s">
        <v>619</v>
      </c>
      <c r="B216" s="367"/>
      <c r="C216" s="368"/>
      <c r="D216" s="367"/>
      <c r="E216" s="367"/>
      <c r="F216" s="369"/>
      <c r="G216" s="370"/>
      <c r="H216" s="367"/>
      <c r="I216" s="376"/>
    </row>
    <row r="217" ht="30" customHeight="1" spans="1:9">
      <c r="A217" s="371" t="s">
        <v>620</v>
      </c>
      <c r="B217" s="371"/>
      <c r="D217" s="372"/>
      <c r="E217" s="147" t="s">
        <v>621</v>
      </c>
      <c r="F217" s="373"/>
      <c r="G217" s="149"/>
      <c r="I217" s="377" t="s">
        <v>622</v>
      </c>
    </row>
  </sheetData>
  <mergeCells count="19">
    <mergeCell ref="C1:I1"/>
    <mergeCell ref="G196:H196"/>
    <mergeCell ref="G197:H197"/>
    <mergeCell ref="G198:H198"/>
    <mergeCell ref="G199:H199"/>
    <mergeCell ref="E208:G208"/>
    <mergeCell ref="G209:H209"/>
    <mergeCell ref="A217:B217"/>
    <mergeCell ref="A2:A4"/>
    <mergeCell ref="H85:H86"/>
    <mergeCell ref="H96:H98"/>
    <mergeCell ref="H135:H136"/>
    <mergeCell ref="H148:H149"/>
    <mergeCell ref="I2:I4"/>
    <mergeCell ref="I85:I86"/>
    <mergeCell ref="I96:I98"/>
    <mergeCell ref="I109:I110"/>
    <mergeCell ref="I121:I122"/>
    <mergeCell ref="I140:I1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O60"/>
  <sheetViews>
    <sheetView topLeftCell="A10" workbookViewId="0">
      <selection activeCell="A1" sqref="A1"/>
    </sheetView>
  </sheetViews>
  <sheetFormatPr defaultColWidth="8" defaultRowHeight="14.25"/>
  <cols>
    <col min="1" max="1" width="4.4" customWidth="1"/>
    <col min="2" max="2" width="24.9" customWidth="1"/>
    <col min="3" max="3" width="6.4" customWidth="1"/>
    <col min="4" max="4" width="7.7" hidden="1" customWidth="1"/>
    <col min="5" max="5" width="5.4" customWidth="1"/>
    <col min="6" max="6" width="8.1" customWidth="1"/>
    <col min="7" max="7" width="8.2" customWidth="1"/>
    <col min="8" max="8" width="7.2" customWidth="1"/>
    <col min="9" max="9" width="69.6" customWidth="1"/>
    <col min="10" max="257" width="9" customWidth="1"/>
  </cols>
  <sheetData>
    <row r="1" ht="17.25" customHeight="1" spans="1:9">
      <c r="A1" s="5"/>
      <c r="B1" s="6">
        <f ca="1">NOW()</f>
        <v>45537.3403935185</v>
      </c>
      <c r="C1" s="5" t="s">
        <v>623</v>
      </c>
      <c r="D1" s="5"/>
      <c r="E1" s="5"/>
      <c r="F1" s="5"/>
      <c r="G1" s="5"/>
      <c r="H1" s="5"/>
      <c r="I1" s="5"/>
    </row>
    <row r="2" s="1" customFormat="1" ht="11.1" customHeight="1" spans="1:9">
      <c r="A2" s="7" t="s">
        <v>93</v>
      </c>
      <c r="B2" s="8" t="s">
        <v>94</v>
      </c>
      <c r="C2" s="9" t="e">
        <f>'[3]#REF'!C2</f>
        <v>#REF!</v>
      </c>
      <c r="D2" s="9" t="s">
        <v>96</v>
      </c>
      <c r="E2" s="10" t="s">
        <v>97</v>
      </c>
      <c r="F2" s="11" t="e">
        <f>'[3]#REF'!F2</f>
        <v>#REF!</v>
      </c>
      <c r="G2" s="9" t="s">
        <v>624</v>
      </c>
      <c r="H2" s="12" t="e">
        <f>'[3]#REF'!H2</f>
        <v>#REF!</v>
      </c>
      <c r="I2" s="93" t="s">
        <v>625</v>
      </c>
    </row>
    <row r="3" s="1" customFormat="1" ht="11.1" customHeight="1" spans="1:9">
      <c r="A3" s="13"/>
      <c r="B3" s="14" t="s">
        <v>125</v>
      </c>
      <c r="C3" s="15" t="e">
        <f>'[3]#REF'!C3</f>
        <v>#REF!</v>
      </c>
      <c r="D3" s="16"/>
      <c r="E3" s="17" t="s">
        <v>126</v>
      </c>
      <c r="F3" s="18" t="e">
        <f>'[3]#REF'!F3</f>
        <v>#REF!</v>
      </c>
      <c r="G3" s="16" t="s">
        <v>626</v>
      </c>
      <c r="H3" s="16" t="e">
        <f>'[3]#REF'!H3</f>
        <v>#REF!</v>
      </c>
      <c r="I3" s="94"/>
    </row>
    <row r="4" s="1" customFormat="1" ht="11.1" customHeight="1" spans="1:9">
      <c r="A4" s="19"/>
      <c r="B4" s="20" t="s">
        <v>143</v>
      </c>
      <c r="C4" s="21" t="e">
        <f>'[3]#REF'!C4</f>
        <v>#REF!</v>
      </c>
      <c r="D4" s="22"/>
      <c r="E4" s="22" t="s">
        <v>145</v>
      </c>
      <c r="F4" s="22" t="e">
        <f>'[3]#REF'!F4</f>
        <v>#REF!</v>
      </c>
      <c r="G4" s="22" t="s">
        <v>627</v>
      </c>
      <c r="H4" s="23" t="e">
        <f>'[3]#REF'!H4</f>
        <v>#REF!</v>
      </c>
      <c r="I4" s="95"/>
    </row>
    <row r="5" s="2" customFormat="1" ht="9" customHeight="1" spans="1:9">
      <c r="A5" s="24"/>
      <c r="B5" s="25"/>
      <c r="C5" s="26"/>
      <c r="D5" s="27"/>
      <c r="E5" s="28"/>
      <c r="F5" s="29"/>
      <c r="G5" s="30"/>
      <c r="H5" s="31"/>
      <c r="I5" s="25"/>
    </row>
    <row r="6" s="2" customFormat="1" ht="15" customHeight="1" spans="1:9">
      <c r="A6" s="32" t="s">
        <v>15</v>
      </c>
      <c r="B6" s="33" t="s">
        <v>16</v>
      </c>
      <c r="C6" s="34" t="s">
        <v>17</v>
      </c>
      <c r="D6" s="35" t="s">
        <v>96</v>
      </c>
      <c r="E6" s="33" t="s">
        <v>18</v>
      </c>
      <c r="F6" s="33" t="s">
        <v>19</v>
      </c>
      <c r="G6" s="36" t="s">
        <v>149</v>
      </c>
      <c r="H6" s="36" t="s">
        <v>150</v>
      </c>
      <c r="I6" s="96" t="s">
        <v>22</v>
      </c>
    </row>
    <row r="7" customHeight="1" spans="1:96">
      <c r="A7" s="37">
        <v>1</v>
      </c>
      <c r="B7" s="38" t="s">
        <v>628</v>
      </c>
      <c r="C7" s="39">
        <v>1</v>
      </c>
      <c r="D7" s="40" t="e">
        <f>#REF!</f>
        <v>#REF!</v>
      </c>
      <c r="E7" s="41" t="s">
        <v>164</v>
      </c>
      <c r="F7" s="42">
        <v>7</v>
      </c>
      <c r="G7" s="43">
        <f>C7*F7</f>
        <v>7</v>
      </c>
      <c r="H7" s="44"/>
      <c r="I7" s="97" t="s">
        <v>629</v>
      </c>
      <c r="CO7" s="107" t="s">
        <v>165</v>
      </c>
      <c r="CP7" s="107" t="s">
        <v>167</v>
      </c>
      <c r="CQ7" s="107">
        <v>13.8</v>
      </c>
      <c r="CR7" s="107">
        <v>20.7</v>
      </c>
    </row>
    <row r="8" customHeight="1" spans="1:94">
      <c r="A8" s="37">
        <v>2</v>
      </c>
      <c r="B8" s="45" t="s">
        <v>630</v>
      </c>
      <c r="C8" s="39">
        <v>1</v>
      </c>
      <c r="D8" s="46" t="b">
        <f>IF(H8=CO8,C8*100+180,IF(H8=CP8,C8*150+270))</f>
        <v>0</v>
      </c>
      <c r="E8" s="47" t="s">
        <v>631</v>
      </c>
      <c r="F8" s="48">
        <v>50</v>
      </c>
      <c r="G8" s="43">
        <f t="shared" ref="G8:G54" si="0">C8*F8</f>
        <v>50</v>
      </c>
      <c r="H8" s="44"/>
      <c r="I8" s="97" t="s">
        <v>632</v>
      </c>
      <c r="CO8" s="107" t="s">
        <v>165</v>
      </c>
      <c r="CP8" s="107" t="s">
        <v>167</v>
      </c>
    </row>
    <row r="9" ht="15" customHeight="1" spans="1:145">
      <c r="A9" s="37">
        <v>3</v>
      </c>
      <c r="B9" s="49" t="s">
        <v>633</v>
      </c>
      <c r="C9" s="39">
        <v>1</v>
      </c>
      <c r="D9" s="50"/>
      <c r="E9" s="47" t="s">
        <v>164</v>
      </c>
      <c r="F9" s="47">
        <v>30</v>
      </c>
      <c r="G9" s="43">
        <f t="shared" si="0"/>
        <v>30</v>
      </c>
      <c r="H9" s="44"/>
      <c r="I9" s="9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</row>
    <row r="10" ht="15" customHeight="1" spans="1:145">
      <c r="A10" s="37">
        <v>4</v>
      </c>
      <c r="B10" s="49" t="s">
        <v>634</v>
      </c>
      <c r="C10" s="39">
        <v>1</v>
      </c>
      <c r="D10" s="50"/>
      <c r="E10" s="47" t="s">
        <v>164</v>
      </c>
      <c r="F10" s="47">
        <v>10</v>
      </c>
      <c r="G10" s="43">
        <f t="shared" si="0"/>
        <v>10</v>
      </c>
      <c r="H10" s="44"/>
      <c r="I10" s="98" t="s">
        <v>635</v>
      </c>
      <c r="CO10" s="109">
        <v>20</v>
      </c>
      <c r="CP10" s="109">
        <f t="shared" ref="CP10:CX10" si="1">CO10+12</f>
        <v>32</v>
      </c>
      <c r="CQ10" s="109">
        <f t="shared" si="1"/>
        <v>44</v>
      </c>
      <c r="CR10" s="109">
        <f t="shared" si="1"/>
        <v>56</v>
      </c>
      <c r="CS10" s="109">
        <f t="shared" si="1"/>
        <v>68</v>
      </c>
      <c r="CT10" s="109">
        <f t="shared" si="1"/>
        <v>80</v>
      </c>
      <c r="CU10" s="109">
        <f t="shared" si="1"/>
        <v>92</v>
      </c>
      <c r="CV10" s="109">
        <f t="shared" si="1"/>
        <v>104</v>
      </c>
      <c r="CW10" s="109">
        <f t="shared" si="1"/>
        <v>116</v>
      </c>
      <c r="CX10" s="109">
        <f t="shared" si="1"/>
        <v>128</v>
      </c>
      <c r="CY10" s="109">
        <v>32</v>
      </c>
      <c r="CZ10" s="109">
        <f t="shared" ref="CZ10:DH10" si="2">CY10+12</f>
        <v>44</v>
      </c>
      <c r="DA10" s="109">
        <f t="shared" si="2"/>
        <v>56</v>
      </c>
      <c r="DB10" s="109">
        <f t="shared" si="2"/>
        <v>68</v>
      </c>
      <c r="DC10" s="109">
        <f t="shared" si="2"/>
        <v>80</v>
      </c>
      <c r="DD10" s="109">
        <f t="shared" si="2"/>
        <v>92</v>
      </c>
      <c r="DE10" s="109">
        <f t="shared" si="2"/>
        <v>104</v>
      </c>
      <c r="DF10" s="109">
        <f t="shared" si="2"/>
        <v>116</v>
      </c>
      <c r="DG10" s="109">
        <f t="shared" si="2"/>
        <v>128</v>
      </c>
      <c r="DH10" s="109">
        <f t="shared" si="2"/>
        <v>140</v>
      </c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</row>
    <row r="11" customHeight="1" spans="1:145">
      <c r="A11" s="37">
        <v>5</v>
      </c>
      <c r="B11" s="49" t="s">
        <v>636</v>
      </c>
      <c r="C11" s="39">
        <v>1</v>
      </c>
      <c r="D11" s="50"/>
      <c r="E11" s="47" t="s">
        <v>187</v>
      </c>
      <c r="F11" s="47">
        <v>120</v>
      </c>
      <c r="G11" s="43">
        <f t="shared" si="0"/>
        <v>120</v>
      </c>
      <c r="H11" s="51"/>
      <c r="I11" s="98" t="s">
        <v>637</v>
      </c>
      <c r="CO11" s="108" t="s">
        <v>638</v>
      </c>
      <c r="CP11" s="108" t="s">
        <v>639</v>
      </c>
      <c r="CQ11" s="108" t="s">
        <v>383</v>
      </c>
      <c r="CR11" s="108" t="s">
        <v>640</v>
      </c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</row>
    <row r="12" ht="15" customHeight="1" spans="1:9">
      <c r="A12" s="37">
        <v>6</v>
      </c>
      <c r="B12" s="49" t="s">
        <v>641</v>
      </c>
      <c r="C12" s="39">
        <v>1</v>
      </c>
      <c r="D12" s="52"/>
      <c r="E12" s="47" t="s">
        <v>164</v>
      </c>
      <c r="F12" s="47">
        <v>25</v>
      </c>
      <c r="G12" s="43">
        <f t="shared" si="0"/>
        <v>25</v>
      </c>
      <c r="H12" s="53"/>
      <c r="I12" s="98" t="s">
        <v>642</v>
      </c>
    </row>
    <row r="13" ht="15" customHeight="1" spans="1:9">
      <c r="A13" s="37">
        <v>7</v>
      </c>
      <c r="B13" s="49" t="s">
        <v>643</v>
      </c>
      <c r="C13" s="39">
        <v>1</v>
      </c>
      <c r="D13" s="52"/>
      <c r="E13" s="47" t="s">
        <v>164</v>
      </c>
      <c r="F13" s="47">
        <v>120</v>
      </c>
      <c r="G13" s="43">
        <f t="shared" si="0"/>
        <v>120</v>
      </c>
      <c r="H13" s="53"/>
      <c r="I13" s="98" t="s">
        <v>644</v>
      </c>
    </row>
    <row r="14" ht="15" customHeight="1" spans="1:9">
      <c r="A14" s="37">
        <v>8</v>
      </c>
      <c r="B14" s="49" t="s">
        <v>645</v>
      </c>
      <c r="C14" s="39">
        <v>1</v>
      </c>
      <c r="D14" s="52"/>
      <c r="E14" s="47" t="s">
        <v>164</v>
      </c>
      <c r="F14" s="47">
        <v>50</v>
      </c>
      <c r="G14" s="43">
        <f t="shared" si="0"/>
        <v>50</v>
      </c>
      <c r="H14" s="53"/>
      <c r="I14" s="97"/>
    </row>
    <row r="15" ht="15" customHeight="1" spans="1:9">
      <c r="A15" s="37">
        <v>9</v>
      </c>
      <c r="B15" s="49" t="s">
        <v>646</v>
      </c>
      <c r="C15" s="39">
        <v>1</v>
      </c>
      <c r="D15" s="52"/>
      <c r="E15" s="47" t="s">
        <v>187</v>
      </c>
      <c r="F15" s="47">
        <v>3</v>
      </c>
      <c r="G15" s="43">
        <f t="shared" si="0"/>
        <v>3</v>
      </c>
      <c r="H15" s="53"/>
      <c r="I15" s="97"/>
    </row>
    <row r="16" ht="15" customHeight="1" spans="1:9">
      <c r="A16" s="37">
        <v>10</v>
      </c>
      <c r="B16" s="49" t="s">
        <v>647</v>
      </c>
      <c r="C16" s="39">
        <v>1</v>
      </c>
      <c r="D16" s="52"/>
      <c r="E16" s="47" t="s">
        <v>187</v>
      </c>
      <c r="F16" s="47">
        <v>8</v>
      </c>
      <c r="G16" s="43">
        <f t="shared" si="0"/>
        <v>8</v>
      </c>
      <c r="H16" s="53"/>
      <c r="I16" s="97"/>
    </row>
    <row r="17" ht="15" customHeight="1" spans="1:9">
      <c r="A17" s="37">
        <v>11</v>
      </c>
      <c r="B17" s="49" t="s">
        <v>648</v>
      </c>
      <c r="C17" s="39">
        <v>1</v>
      </c>
      <c r="D17" s="52"/>
      <c r="E17" s="47" t="s">
        <v>26</v>
      </c>
      <c r="F17" s="47">
        <v>30</v>
      </c>
      <c r="G17" s="43">
        <f t="shared" si="0"/>
        <v>30</v>
      </c>
      <c r="H17" s="53"/>
      <c r="I17" s="97"/>
    </row>
    <row r="18" ht="15" customHeight="1" spans="1:9">
      <c r="A18" s="37">
        <v>12</v>
      </c>
      <c r="B18" s="49" t="s">
        <v>649</v>
      </c>
      <c r="C18" s="39">
        <v>1</v>
      </c>
      <c r="D18" s="52"/>
      <c r="E18" s="47" t="s">
        <v>164</v>
      </c>
      <c r="F18" s="47">
        <v>40</v>
      </c>
      <c r="G18" s="43">
        <f t="shared" si="0"/>
        <v>40</v>
      </c>
      <c r="H18" s="53"/>
      <c r="I18" s="98" t="s">
        <v>642</v>
      </c>
    </row>
    <row r="19" ht="15" customHeight="1" spans="1:9">
      <c r="A19" s="37">
        <v>13</v>
      </c>
      <c r="B19" s="49" t="s">
        <v>650</v>
      </c>
      <c r="C19" s="39">
        <v>1</v>
      </c>
      <c r="D19" s="52"/>
      <c r="E19" s="47" t="s">
        <v>187</v>
      </c>
      <c r="F19" s="47">
        <v>12</v>
      </c>
      <c r="G19" s="43">
        <f t="shared" si="0"/>
        <v>12</v>
      </c>
      <c r="H19" s="53" t="s">
        <v>651</v>
      </c>
      <c r="I19" s="97"/>
    </row>
    <row r="20" ht="15" customHeight="1" spans="1:9">
      <c r="A20" s="37">
        <v>14</v>
      </c>
      <c r="B20" s="38" t="s">
        <v>652</v>
      </c>
      <c r="C20" s="39">
        <v>1</v>
      </c>
      <c r="D20" s="52"/>
      <c r="E20" s="47" t="s">
        <v>187</v>
      </c>
      <c r="F20" s="42">
        <v>95</v>
      </c>
      <c r="G20" s="43">
        <f t="shared" si="0"/>
        <v>95</v>
      </c>
      <c r="H20" s="53" t="s">
        <v>651</v>
      </c>
      <c r="I20" s="97" t="s">
        <v>653</v>
      </c>
    </row>
    <row r="21" ht="15" customHeight="1" spans="1:9">
      <c r="A21" s="37">
        <v>15</v>
      </c>
      <c r="B21" s="38" t="s">
        <v>654</v>
      </c>
      <c r="C21" s="39">
        <v>1</v>
      </c>
      <c r="D21" s="52"/>
      <c r="E21" s="47" t="s">
        <v>187</v>
      </c>
      <c r="F21" s="42">
        <v>25</v>
      </c>
      <c r="G21" s="43">
        <f t="shared" si="0"/>
        <v>25</v>
      </c>
      <c r="H21" s="53" t="s">
        <v>651</v>
      </c>
      <c r="I21" s="97" t="s">
        <v>655</v>
      </c>
    </row>
    <row r="22" customHeight="1" spans="1:9">
      <c r="A22" s="37">
        <v>16</v>
      </c>
      <c r="B22" s="38" t="s">
        <v>656</v>
      </c>
      <c r="C22" s="39">
        <v>1</v>
      </c>
      <c r="D22" s="52"/>
      <c r="E22" s="47" t="s">
        <v>187</v>
      </c>
      <c r="F22" s="54">
        <v>50</v>
      </c>
      <c r="G22" s="43">
        <f t="shared" si="0"/>
        <v>50</v>
      </c>
      <c r="H22" s="55"/>
      <c r="I22" s="97" t="s">
        <v>657</v>
      </c>
    </row>
    <row r="23" ht="39" customHeight="1" spans="1:9">
      <c r="A23" s="37">
        <v>17</v>
      </c>
      <c r="B23" s="38" t="s">
        <v>658</v>
      </c>
      <c r="C23" s="39">
        <v>1</v>
      </c>
      <c r="D23" s="52"/>
      <c r="E23" s="47" t="s">
        <v>164</v>
      </c>
      <c r="F23" s="42">
        <v>39</v>
      </c>
      <c r="G23" s="43">
        <f t="shared" si="0"/>
        <v>39</v>
      </c>
      <c r="H23" s="43"/>
      <c r="I23" s="97" t="s">
        <v>659</v>
      </c>
    </row>
    <row r="24" ht="47.1" customHeight="1" spans="1:9">
      <c r="A24" s="37">
        <v>18</v>
      </c>
      <c r="B24" s="38" t="s">
        <v>660</v>
      </c>
      <c r="C24" s="39">
        <v>1</v>
      </c>
      <c r="D24" s="52"/>
      <c r="E24" s="47" t="s">
        <v>164</v>
      </c>
      <c r="F24" s="42">
        <v>90</v>
      </c>
      <c r="G24" s="43">
        <f t="shared" si="0"/>
        <v>90</v>
      </c>
      <c r="H24" s="56"/>
      <c r="I24" s="97" t="s">
        <v>661</v>
      </c>
    </row>
    <row r="25" ht="15" customHeight="1" spans="1:9">
      <c r="A25" s="37">
        <v>19</v>
      </c>
      <c r="B25" s="38" t="s">
        <v>293</v>
      </c>
      <c r="C25" s="39">
        <v>1</v>
      </c>
      <c r="D25" s="52"/>
      <c r="E25" s="54" t="s">
        <v>164</v>
      </c>
      <c r="F25" s="42">
        <v>15</v>
      </c>
      <c r="G25" s="43">
        <f t="shared" si="0"/>
        <v>15</v>
      </c>
      <c r="H25" s="43" t="s">
        <v>250</v>
      </c>
      <c r="I25" s="99" t="s">
        <v>662</v>
      </c>
    </row>
    <row r="26" ht="15" customHeight="1" spans="1:9">
      <c r="A26" s="37">
        <v>20</v>
      </c>
      <c r="B26" s="38" t="s">
        <v>457</v>
      </c>
      <c r="C26" s="39">
        <v>1</v>
      </c>
      <c r="D26" s="52"/>
      <c r="E26" s="54" t="s">
        <v>164</v>
      </c>
      <c r="F26" s="57">
        <v>5</v>
      </c>
      <c r="G26" s="43">
        <f t="shared" si="0"/>
        <v>5</v>
      </c>
      <c r="H26" s="55"/>
      <c r="I26" s="97" t="s">
        <v>458</v>
      </c>
    </row>
    <row r="27" s="3" customFormat="1" ht="17.25" customHeight="1" spans="1:9">
      <c r="A27" s="37">
        <v>21</v>
      </c>
      <c r="B27" s="58" t="s">
        <v>663</v>
      </c>
      <c r="C27" s="59">
        <v>1</v>
      </c>
      <c r="D27" s="60"/>
      <c r="E27" s="61" t="s">
        <v>164</v>
      </c>
      <c r="F27" s="62">
        <v>20</v>
      </c>
      <c r="G27" s="63">
        <f t="shared" si="0"/>
        <v>20</v>
      </c>
      <c r="H27" s="64"/>
      <c r="I27" s="100" t="s">
        <v>664</v>
      </c>
    </row>
    <row r="28" ht="15" customHeight="1" spans="1:9">
      <c r="A28" s="37">
        <v>22</v>
      </c>
      <c r="B28" s="38" t="s">
        <v>665</v>
      </c>
      <c r="C28" s="39">
        <v>1</v>
      </c>
      <c r="D28" s="52"/>
      <c r="E28" s="54" t="s">
        <v>164</v>
      </c>
      <c r="F28" s="42">
        <v>6</v>
      </c>
      <c r="G28" s="43">
        <f t="shared" si="0"/>
        <v>6</v>
      </c>
      <c r="H28" s="55"/>
      <c r="I28" s="97" t="s">
        <v>666</v>
      </c>
    </row>
    <row r="29" ht="22.5" customHeight="1" spans="1:9">
      <c r="A29" s="37">
        <v>23</v>
      </c>
      <c r="B29" s="38" t="s">
        <v>667</v>
      </c>
      <c r="C29" s="39">
        <v>1</v>
      </c>
      <c r="D29" s="52"/>
      <c r="E29" s="54" t="s">
        <v>161</v>
      </c>
      <c r="F29" s="42">
        <v>35</v>
      </c>
      <c r="G29" s="43">
        <f t="shared" si="0"/>
        <v>35</v>
      </c>
      <c r="H29" s="65"/>
      <c r="I29" s="97" t="s">
        <v>668</v>
      </c>
    </row>
    <row r="30" ht="23.25" customHeight="1" spans="1:9">
      <c r="A30" s="37">
        <v>24</v>
      </c>
      <c r="B30" s="38" t="s">
        <v>669</v>
      </c>
      <c r="C30" s="39">
        <v>1</v>
      </c>
      <c r="D30" s="52"/>
      <c r="E30" s="54" t="s">
        <v>161</v>
      </c>
      <c r="F30" s="42">
        <v>1</v>
      </c>
      <c r="G30" s="43">
        <f t="shared" si="0"/>
        <v>1</v>
      </c>
      <c r="H30" s="65"/>
      <c r="I30" s="97" t="s">
        <v>355</v>
      </c>
    </row>
    <row r="31" ht="15" customHeight="1" spans="1:9">
      <c r="A31" s="37">
        <v>25</v>
      </c>
      <c r="B31" s="66" t="s">
        <v>670</v>
      </c>
      <c r="C31" s="39">
        <v>1</v>
      </c>
      <c r="D31" s="67"/>
      <c r="E31" s="67" t="s">
        <v>187</v>
      </c>
      <c r="F31" s="67">
        <v>50</v>
      </c>
      <c r="G31" s="68">
        <f t="shared" si="0"/>
        <v>50</v>
      </c>
      <c r="H31" s="68"/>
      <c r="I31" s="101" t="s">
        <v>671</v>
      </c>
    </row>
    <row r="32" ht="59.25" customHeight="1" spans="1:9">
      <c r="A32" s="37">
        <v>26</v>
      </c>
      <c r="B32" s="66" t="s">
        <v>672</v>
      </c>
      <c r="C32" s="39">
        <v>1</v>
      </c>
      <c r="D32" s="67"/>
      <c r="E32" s="67" t="s">
        <v>164</v>
      </c>
      <c r="F32" s="61">
        <v>680</v>
      </c>
      <c r="G32" s="69">
        <f t="shared" si="0"/>
        <v>680</v>
      </c>
      <c r="H32" s="70" t="s">
        <v>673</v>
      </c>
      <c r="I32" s="101" t="s">
        <v>674</v>
      </c>
    </row>
    <row r="33" ht="45" customHeight="1" spans="1:9">
      <c r="A33" s="37">
        <v>27</v>
      </c>
      <c r="B33" s="66" t="s">
        <v>675</v>
      </c>
      <c r="C33" s="39">
        <v>1</v>
      </c>
      <c r="D33" s="67"/>
      <c r="E33" s="67" t="s">
        <v>187</v>
      </c>
      <c r="F33" s="61">
        <v>980</v>
      </c>
      <c r="G33" s="68">
        <f t="shared" si="0"/>
        <v>980</v>
      </c>
      <c r="H33" s="70" t="s">
        <v>673</v>
      </c>
      <c r="I33" s="101" t="s">
        <v>676</v>
      </c>
    </row>
    <row r="34" ht="15" customHeight="1" spans="1:9">
      <c r="A34" s="37">
        <v>28</v>
      </c>
      <c r="B34" s="71" t="s">
        <v>677</v>
      </c>
      <c r="C34" s="39">
        <v>1</v>
      </c>
      <c r="D34" s="72"/>
      <c r="E34" s="72" t="s">
        <v>678</v>
      </c>
      <c r="F34" s="72">
        <v>8</v>
      </c>
      <c r="G34" s="73">
        <f t="shared" si="0"/>
        <v>8</v>
      </c>
      <c r="H34" s="74"/>
      <c r="I34" s="102" t="s">
        <v>679</v>
      </c>
    </row>
    <row r="35" ht="15" customHeight="1" spans="1:9">
      <c r="A35" s="37">
        <v>29</v>
      </c>
      <c r="B35" s="38" t="s">
        <v>680</v>
      </c>
      <c r="C35" s="39">
        <v>1</v>
      </c>
      <c r="D35" s="52"/>
      <c r="E35" s="67" t="s">
        <v>187</v>
      </c>
      <c r="F35" s="54">
        <v>240</v>
      </c>
      <c r="G35" s="43">
        <f t="shared" si="0"/>
        <v>240</v>
      </c>
      <c r="H35" s="75" t="s">
        <v>681</v>
      </c>
      <c r="I35" s="97" t="s">
        <v>682</v>
      </c>
    </row>
    <row r="36" ht="15" customHeight="1" spans="1:9">
      <c r="A36" s="37">
        <v>30</v>
      </c>
      <c r="B36" s="38"/>
      <c r="C36" s="39"/>
      <c r="D36" s="52"/>
      <c r="E36" s="47"/>
      <c r="F36" s="54"/>
      <c r="G36" s="43">
        <f t="shared" si="0"/>
        <v>0</v>
      </c>
      <c r="H36" s="53"/>
      <c r="I36" s="97"/>
    </row>
    <row r="37" ht="15" customHeight="1" spans="1:9">
      <c r="A37" s="37">
        <v>31</v>
      </c>
      <c r="B37" s="38"/>
      <c r="C37" s="39"/>
      <c r="D37" s="52"/>
      <c r="E37" s="47"/>
      <c r="F37" s="54"/>
      <c r="G37" s="43">
        <f t="shared" si="0"/>
        <v>0</v>
      </c>
      <c r="H37" s="53"/>
      <c r="I37" s="97"/>
    </row>
    <row r="38" ht="15" customHeight="1" spans="1:9">
      <c r="A38" s="37">
        <v>32</v>
      </c>
      <c r="B38" s="38"/>
      <c r="C38" s="39"/>
      <c r="D38" s="52"/>
      <c r="E38" s="47"/>
      <c r="F38" s="54"/>
      <c r="G38" s="43">
        <f t="shared" si="0"/>
        <v>0</v>
      </c>
      <c r="H38" s="53"/>
      <c r="I38" s="97"/>
    </row>
    <row r="39" ht="15" customHeight="1" spans="1:9">
      <c r="A39" s="37">
        <v>33</v>
      </c>
      <c r="B39" s="38"/>
      <c r="C39" s="39"/>
      <c r="D39" s="52"/>
      <c r="E39" s="47"/>
      <c r="F39" s="54"/>
      <c r="G39" s="43">
        <f t="shared" si="0"/>
        <v>0</v>
      </c>
      <c r="H39" s="53"/>
      <c r="I39" s="97"/>
    </row>
    <row r="40" ht="15" customHeight="1" spans="1:9">
      <c r="A40" s="37">
        <v>34</v>
      </c>
      <c r="B40" s="38"/>
      <c r="C40" s="39"/>
      <c r="D40" s="52"/>
      <c r="E40" s="47"/>
      <c r="F40" s="54"/>
      <c r="G40" s="43">
        <f t="shared" si="0"/>
        <v>0</v>
      </c>
      <c r="H40" s="53"/>
      <c r="I40" s="97"/>
    </row>
    <row r="41" ht="15" customHeight="1" spans="1:9">
      <c r="A41" s="37">
        <v>35</v>
      </c>
      <c r="B41" s="38"/>
      <c r="C41" s="39"/>
      <c r="D41" s="52"/>
      <c r="E41" s="47"/>
      <c r="F41" s="54"/>
      <c r="G41" s="43">
        <f t="shared" si="0"/>
        <v>0</v>
      </c>
      <c r="H41" s="53"/>
      <c r="I41" s="97"/>
    </row>
    <row r="42" ht="15" customHeight="1" spans="1:9">
      <c r="A42" s="37">
        <v>36</v>
      </c>
      <c r="B42" s="38"/>
      <c r="C42" s="39"/>
      <c r="D42" s="52"/>
      <c r="E42" s="47"/>
      <c r="F42" s="54"/>
      <c r="G42" s="43">
        <f t="shared" si="0"/>
        <v>0</v>
      </c>
      <c r="H42" s="53"/>
      <c r="I42" s="97"/>
    </row>
    <row r="43" ht="15" customHeight="1" spans="1:9">
      <c r="A43" s="37">
        <v>37</v>
      </c>
      <c r="B43" s="38"/>
      <c r="C43" s="39"/>
      <c r="D43" s="52"/>
      <c r="E43" s="47"/>
      <c r="F43" s="54"/>
      <c r="G43" s="43">
        <f t="shared" si="0"/>
        <v>0</v>
      </c>
      <c r="H43" s="53"/>
      <c r="I43" s="97"/>
    </row>
    <row r="44" ht="15" customHeight="1" spans="1:9">
      <c r="A44" s="37">
        <v>38</v>
      </c>
      <c r="B44" s="38"/>
      <c r="C44" s="39"/>
      <c r="D44" s="52"/>
      <c r="E44" s="47"/>
      <c r="F44" s="54"/>
      <c r="G44" s="43">
        <f t="shared" si="0"/>
        <v>0</v>
      </c>
      <c r="H44" s="53"/>
      <c r="I44" s="97"/>
    </row>
    <row r="45" ht="15" customHeight="1" spans="1:9">
      <c r="A45" s="37">
        <v>39</v>
      </c>
      <c r="B45" s="38"/>
      <c r="C45" s="39"/>
      <c r="D45" s="52"/>
      <c r="E45" s="47"/>
      <c r="F45" s="54"/>
      <c r="G45" s="43">
        <f t="shared" si="0"/>
        <v>0</v>
      </c>
      <c r="H45" s="53"/>
      <c r="I45" s="97"/>
    </row>
    <row r="46" ht="15" customHeight="1" spans="1:9">
      <c r="A46" s="37">
        <v>40</v>
      </c>
      <c r="B46" s="38"/>
      <c r="C46" s="39"/>
      <c r="D46" s="52"/>
      <c r="E46" s="47"/>
      <c r="F46" s="54"/>
      <c r="G46" s="43">
        <f t="shared" si="0"/>
        <v>0</v>
      </c>
      <c r="H46" s="53"/>
      <c r="I46" s="97"/>
    </row>
    <row r="47" ht="15" customHeight="1" spans="1:9">
      <c r="A47" s="37">
        <v>41</v>
      </c>
      <c r="B47" s="38"/>
      <c r="C47" s="39"/>
      <c r="D47" s="52"/>
      <c r="E47" s="47"/>
      <c r="F47" s="54"/>
      <c r="G47" s="43">
        <f t="shared" si="0"/>
        <v>0</v>
      </c>
      <c r="H47" s="53"/>
      <c r="I47" s="97"/>
    </row>
    <row r="48" ht="15" customHeight="1" spans="1:9">
      <c r="A48" s="37">
        <v>42</v>
      </c>
      <c r="B48" s="38"/>
      <c r="C48" s="39"/>
      <c r="D48" s="52"/>
      <c r="E48" s="47"/>
      <c r="F48" s="54"/>
      <c r="G48" s="43">
        <f t="shared" si="0"/>
        <v>0</v>
      </c>
      <c r="H48" s="53"/>
      <c r="I48" s="97"/>
    </row>
    <row r="49" ht="15" customHeight="1" spans="1:9">
      <c r="A49" s="37">
        <v>43</v>
      </c>
      <c r="B49" s="38"/>
      <c r="C49" s="39"/>
      <c r="D49" s="52"/>
      <c r="E49" s="47"/>
      <c r="F49" s="54"/>
      <c r="G49" s="43">
        <f t="shared" si="0"/>
        <v>0</v>
      </c>
      <c r="H49" s="53"/>
      <c r="I49" s="97"/>
    </row>
    <row r="50" ht="15" customHeight="1" spans="1:9">
      <c r="A50" s="37">
        <v>44</v>
      </c>
      <c r="B50" s="38"/>
      <c r="C50" s="39"/>
      <c r="D50" s="52"/>
      <c r="E50" s="47"/>
      <c r="F50" s="54"/>
      <c r="G50" s="43">
        <f t="shared" si="0"/>
        <v>0</v>
      </c>
      <c r="H50" s="53"/>
      <c r="I50" s="97"/>
    </row>
    <row r="51" ht="15" customHeight="1" spans="1:9">
      <c r="A51" s="37">
        <v>45</v>
      </c>
      <c r="B51" s="38"/>
      <c r="C51" s="39"/>
      <c r="D51" s="52"/>
      <c r="E51" s="47"/>
      <c r="F51" s="54"/>
      <c r="G51" s="43">
        <f t="shared" si="0"/>
        <v>0</v>
      </c>
      <c r="H51" s="53"/>
      <c r="I51" s="97"/>
    </row>
    <row r="52" ht="15" customHeight="1" spans="1:9">
      <c r="A52" s="37">
        <v>46</v>
      </c>
      <c r="B52" s="38"/>
      <c r="C52" s="39"/>
      <c r="D52" s="52"/>
      <c r="E52" s="47"/>
      <c r="F52" s="54"/>
      <c r="G52" s="43">
        <f t="shared" si="0"/>
        <v>0</v>
      </c>
      <c r="H52" s="53"/>
      <c r="I52" s="97"/>
    </row>
    <row r="53" ht="15" customHeight="1" spans="1:9">
      <c r="A53" s="37">
        <v>47</v>
      </c>
      <c r="B53" s="38"/>
      <c r="C53" s="39"/>
      <c r="D53" s="52"/>
      <c r="E53" s="47"/>
      <c r="F53" s="54"/>
      <c r="G53" s="43">
        <f t="shared" si="0"/>
        <v>0</v>
      </c>
      <c r="H53" s="53"/>
      <c r="I53" s="97"/>
    </row>
    <row r="54" ht="15" customHeight="1" spans="1:9">
      <c r="A54" s="37">
        <v>48</v>
      </c>
      <c r="B54" s="38"/>
      <c r="C54" s="39"/>
      <c r="D54" s="52"/>
      <c r="E54" s="47"/>
      <c r="F54" s="54"/>
      <c r="G54" s="43">
        <f t="shared" si="0"/>
        <v>0</v>
      </c>
      <c r="H54" s="53"/>
      <c r="I54" s="97"/>
    </row>
    <row r="55" s="4" customFormat="1" ht="15" customHeight="1" spans="1:9">
      <c r="A55" s="76"/>
      <c r="B55" s="77"/>
      <c r="C55" s="78"/>
      <c r="D55" s="79"/>
      <c r="E55" s="80"/>
      <c r="F55" s="81" t="s">
        <v>683</v>
      </c>
      <c r="G55" s="82">
        <f>SUM(G6:G54)</f>
        <v>2844</v>
      </c>
      <c r="H55" s="82"/>
      <c r="I55" s="103"/>
    </row>
    <row r="56" s="4" customFormat="1" ht="15" customHeight="1" spans="1:9">
      <c r="A56" s="76"/>
      <c r="B56" s="77"/>
      <c r="C56" s="78"/>
      <c r="D56" s="79"/>
      <c r="E56" s="80"/>
      <c r="F56" s="81" t="s">
        <v>684</v>
      </c>
      <c r="G56" s="82">
        <f>ROUND((G55)*0.1,0.5)</f>
        <v>284</v>
      </c>
      <c r="H56" s="82"/>
      <c r="I56" s="104" t="s">
        <v>685</v>
      </c>
    </row>
    <row r="57" s="4" customFormat="1" ht="15" customHeight="1" spans="1:9">
      <c r="A57" s="76"/>
      <c r="B57" s="77"/>
      <c r="C57" s="78"/>
      <c r="D57" s="79"/>
      <c r="E57" s="80"/>
      <c r="F57" s="81" t="s">
        <v>686</v>
      </c>
      <c r="G57" s="83">
        <v>0</v>
      </c>
      <c r="H57" s="83"/>
      <c r="I57" s="104" t="s">
        <v>687</v>
      </c>
    </row>
    <row r="58" s="4" customFormat="1" ht="15" customHeight="1" spans="1:9">
      <c r="A58" s="76"/>
      <c r="B58" s="77"/>
      <c r="C58" s="78"/>
      <c r="D58" s="79"/>
      <c r="E58" s="80"/>
      <c r="F58" s="81" t="s">
        <v>688</v>
      </c>
      <c r="G58" s="83">
        <v>0</v>
      </c>
      <c r="H58" s="83"/>
      <c r="I58" s="104" t="s">
        <v>689</v>
      </c>
    </row>
    <row r="59" ht="23.25" customHeight="1" spans="1:9">
      <c r="A59" s="84"/>
      <c r="B59" s="85"/>
      <c r="C59" s="86"/>
      <c r="D59" s="87"/>
      <c r="E59" s="88"/>
      <c r="F59" s="89" t="s">
        <v>690</v>
      </c>
      <c r="G59" s="90">
        <f>SUM(G55:G58)</f>
        <v>3128</v>
      </c>
      <c r="H59" s="90"/>
      <c r="I59" s="105" t="s">
        <v>691</v>
      </c>
    </row>
    <row r="60" ht="27" customHeight="1" spans="1:9">
      <c r="A60" s="91" t="s">
        <v>620</v>
      </c>
      <c r="B60" s="91"/>
      <c r="D60" s="92"/>
      <c r="E60" s="28" t="s">
        <v>621</v>
      </c>
      <c r="F60" s="25"/>
      <c r="G60" s="30"/>
      <c r="I60" s="106" t="s">
        <v>622</v>
      </c>
    </row>
  </sheetData>
  <mergeCells count="9">
    <mergeCell ref="C1:I1"/>
    <mergeCell ref="G55:H55"/>
    <mergeCell ref="G56:H56"/>
    <mergeCell ref="G57:H57"/>
    <mergeCell ref="G58:H58"/>
    <mergeCell ref="G59:H59"/>
    <mergeCell ref="A60:B60"/>
    <mergeCell ref="A2:A4"/>
    <mergeCell ref="I2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采购计划</vt:lpstr>
      <vt:lpstr>主页</vt:lpstr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HDY</cp:lastModifiedBy>
  <dcterms:created xsi:type="dcterms:W3CDTF">2022-06-03T16:09:00Z</dcterms:created>
  <dcterms:modified xsi:type="dcterms:W3CDTF">2024-09-02T00:10:36Z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077C9FBC4D7E487DAEC5CF20B0B9C663</vt:lpwstr>
  </property>
  <property fmtid="{D5CDD505-2E9C-101B-9397-08002B2CF9AE}" pid="3" name="KSOProductBuildVer">
    <vt:lpwstr>2052-11.8.6.11719</vt:lpwstr>
  </property>
</Properties>
</file>